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om Callen\Desktop\MBAA CFO\"/>
    </mc:Choice>
  </mc:AlternateContent>
  <bookViews>
    <workbookView xWindow="600" yWindow="1290" windowWidth="19410" windowHeight="10770" firstSheet="1" activeTab="1"/>
  </bookViews>
  <sheets>
    <sheet name="Published Budget" sheetId="1" r:id="rId1"/>
    <sheet name="Accounting Budget" sheetId="2" r:id="rId2"/>
    <sheet name="Summary" sheetId="5" r:id="rId3"/>
    <sheet name="Transaction Journal" sheetId="3" r:id="rId4"/>
    <sheet name="Pending" sheetId="7" r:id="rId5"/>
  </sheets>
  <definedNames>
    <definedName name="_xlnm.Print_Area" localSheetId="1">'Accounting Budget'!$A$1:$G$92</definedName>
    <definedName name="_xlnm.Print_Area" localSheetId="0">'Published Budget'!$A$1:$G$97</definedName>
    <definedName name="Summary" localSheetId="1">#REF!</definedName>
    <definedName name="Summary">#REF!</definedName>
  </definedNames>
  <calcPr calcId="152511"/>
  <pivotCaches>
    <pivotCache cacheId="3" r:id="rId6"/>
  </pivotCaches>
</workbook>
</file>

<file path=xl/calcChain.xml><?xml version="1.0" encoding="utf-8"?>
<calcChain xmlns="http://schemas.openxmlformats.org/spreadsheetml/2006/main">
  <c r="J29" i="2" l="1"/>
  <c r="J6" i="2"/>
  <c r="J74" i="2"/>
  <c r="J42" i="2"/>
  <c r="J43" i="2"/>
  <c r="J68" i="2"/>
  <c r="J7" i="2"/>
  <c r="F97" i="1" l="1"/>
  <c r="J87" i="2" l="1"/>
  <c r="J5" i="2" l="1"/>
  <c r="F5" i="2"/>
  <c r="J97" i="1" l="1"/>
  <c r="J8" i="1"/>
  <c r="F95" i="1" l="1"/>
  <c r="F89" i="1"/>
  <c r="F88" i="1"/>
  <c r="F87" i="1"/>
  <c r="F86" i="1"/>
  <c r="F83" i="1"/>
  <c r="F82" i="1"/>
  <c r="F79" i="1"/>
  <c r="F78" i="1"/>
  <c r="F77" i="1"/>
  <c r="F76" i="1"/>
  <c r="F75" i="1"/>
  <c r="F74" i="1"/>
  <c r="F72" i="1"/>
  <c r="F66" i="1"/>
  <c r="F65" i="1"/>
  <c r="F60" i="1"/>
  <c r="F62" i="1" s="1"/>
  <c r="F57" i="1"/>
  <c r="F56" i="1"/>
  <c r="F55" i="1"/>
  <c r="F54" i="1"/>
  <c r="F53" i="1"/>
  <c r="F52" i="1"/>
  <c r="F51" i="1"/>
  <c r="F50" i="1"/>
  <c r="F47" i="1"/>
  <c r="F44" i="1"/>
  <c r="F43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4" i="1"/>
  <c r="F23" i="1"/>
  <c r="F20" i="1"/>
  <c r="F19" i="1"/>
  <c r="F18" i="1"/>
  <c r="F17" i="1"/>
  <c r="F14" i="1"/>
  <c r="F13" i="1"/>
  <c r="F12" i="1"/>
  <c r="F11" i="1"/>
  <c r="F8" i="1"/>
  <c r="J90" i="2"/>
  <c r="J84" i="2"/>
  <c r="J80" i="2"/>
  <c r="J72" i="2"/>
  <c r="J69" i="2"/>
  <c r="J62" i="2"/>
  <c r="J58" i="2"/>
  <c r="J48" i="2"/>
  <c r="J45" i="2"/>
  <c r="J40" i="2"/>
  <c r="J25" i="2"/>
  <c r="J21" i="2"/>
  <c r="J15" i="2"/>
  <c r="J8" i="2"/>
  <c r="F40" i="1" l="1"/>
  <c r="F58" i="1"/>
  <c r="F90" i="1"/>
  <c r="F21" i="1"/>
  <c r="F69" i="1"/>
  <c r="F15" i="1"/>
  <c r="F25" i="1"/>
  <c r="F45" i="1"/>
  <c r="F80" i="1"/>
  <c r="F57" i="2"/>
  <c r="F51" i="2"/>
  <c r="F52" i="2"/>
  <c r="F53" i="2"/>
  <c r="F54" i="2"/>
  <c r="F55" i="2"/>
  <c r="F56" i="2"/>
  <c r="F50" i="2"/>
  <c r="F89" i="2"/>
  <c r="F88" i="2"/>
  <c r="F87" i="2"/>
  <c r="F86" i="2"/>
  <c r="F83" i="2"/>
  <c r="F79" i="2"/>
  <c r="F75" i="2"/>
  <c r="F76" i="2"/>
  <c r="F77" i="2"/>
  <c r="F78" i="2"/>
  <c r="F74" i="2"/>
  <c r="F47" i="2"/>
  <c r="F28" i="2"/>
  <c r="F29" i="2"/>
  <c r="F30" i="2"/>
  <c r="F31" i="2"/>
  <c r="F32" i="2"/>
  <c r="F33" i="2"/>
  <c r="F34" i="2"/>
  <c r="F35" i="2"/>
  <c r="F36" i="2"/>
  <c r="F37" i="2"/>
  <c r="F38" i="2"/>
  <c r="F39" i="2"/>
  <c r="F24" i="2"/>
  <c r="F23" i="2"/>
  <c r="F82" i="2"/>
  <c r="F99" i="1" l="1"/>
  <c r="F58" i="2"/>
  <c r="F80" i="2"/>
  <c r="F95" i="2"/>
  <c r="F66" i="2"/>
  <c r="F65" i="2"/>
  <c r="F60" i="2"/>
  <c r="F62" i="2" s="1"/>
  <c r="F17" i="2"/>
  <c r="G77" i="2" l="1"/>
  <c r="H77" i="2"/>
  <c r="I77" i="2"/>
  <c r="C5" i="5" l="1"/>
  <c r="I37" i="2"/>
  <c r="H37" i="2"/>
  <c r="G37" i="2"/>
  <c r="I34" i="2"/>
  <c r="H34" i="2"/>
  <c r="G34" i="2"/>
  <c r="G34" i="1"/>
  <c r="H34" i="1"/>
  <c r="I34" i="1"/>
  <c r="G29" i="1"/>
  <c r="H29" i="1"/>
  <c r="I29" i="1"/>
  <c r="I38" i="1"/>
  <c r="C19" i="5"/>
  <c r="K88" i="2"/>
  <c r="K89" i="2" s="1"/>
  <c r="G86" i="2"/>
  <c r="G88" i="2"/>
  <c r="G84" i="2"/>
  <c r="H84" i="2"/>
  <c r="G71" i="2"/>
  <c r="G72" i="2" s="1"/>
  <c r="M67" i="2"/>
  <c r="K58" i="2"/>
  <c r="K63" i="2"/>
  <c r="H60" i="2"/>
  <c r="H62" i="2" s="1"/>
  <c r="M44" i="2"/>
  <c r="M24" i="2"/>
  <c r="G74" i="2"/>
  <c r="G75" i="2"/>
  <c r="G76" i="2"/>
  <c r="G78" i="2"/>
  <c r="G79" i="2"/>
  <c r="C6" i="5"/>
  <c r="F44" i="2"/>
  <c r="F43" i="2"/>
  <c r="F27" i="2"/>
  <c r="F40" i="2" s="1"/>
  <c r="F19" i="2"/>
  <c r="F20" i="2"/>
  <c r="F18" i="2"/>
  <c r="F12" i="2"/>
  <c r="F13" i="2"/>
  <c r="F14" i="2"/>
  <c r="F11" i="2"/>
  <c r="M92" i="2"/>
  <c r="L92" i="2"/>
  <c r="K92" i="2"/>
  <c r="I98" i="2"/>
  <c r="H98" i="2"/>
  <c r="G98" i="2"/>
  <c r="M91" i="2"/>
  <c r="L91" i="2"/>
  <c r="K91" i="2"/>
  <c r="M90" i="2"/>
  <c r="L90" i="2"/>
  <c r="K90" i="2"/>
  <c r="I96" i="2"/>
  <c r="H96" i="2"/>
  <c r="G96" i="2"/>
  <c r="M88" i="2"/>
  <c r="M89" i="2" s="1"/>
  <c r="L88" i="2"/>
  <c r="L89" i="2" s="1"/>
  <c r="I93" i="2"/>
  <c r="I95" i="2" s="1"/>
  <c r="H93" i="2"/>
  <c r="H95" i="2" s="1"/>
  <c r="G93" i="2"/>
  <c r="G95" i="2" s="1"/>
  <c r="M86" i="2"/>
  <c r="L86" i="2"/>
  <c r="K86" i="2"/>
  <c r="I91" i="2"/>
  <c r="H91" i="2"/>
  <c r="G91" i="2"/>
  <c r="L85" i="2"/>
  <c r="K85" i="2"/>
  <c r="F90" i="2"/>
  <c r="C18" i="5" s="1"/>
  <c r="M83" i="2"/>
  <c r="L83" i="2"/>
  <c r="K83" i="2"/>
  <c r="I88" i="2"/>
  <c r="H88" i="2"/>
  <c r="H86" i="2"/>
  <c r="I86" i="2"/>
  <c r="I85" i="2"/>
  <c r="H85" i="2"/>
  <c r="G85" i="2"/>
  <c r="M81" i="2"/>
  <c r="L81" i="2"/>
  <c r="K81" i="2"/>
  <c r="C15" i="5"/>
  <c r="I84" i="2"/>
  <c r="I81" i="2"/>
  <c r="H81" i="2"/>
  <c r="G81" i="2"/>
  <c r="L77" i="2"/>
  <c r="K77" i="2"/>
  <c r="I79" i="2"/>
  <c r="H79" i="2"/>
  <c r="I78" i="2"/>
  <c r="H78" i="2"/>
  <c r="I76" i="2"/>
  <c r="H76" i="2"/>
  <c r="M71" i="2"/>
  <c r="L71" i="2"/>
  <c r="K71" i="2"/>
  <c r="I75" i="2"/>
  <c r="H75" i="2"/>
  <c r="M70" i="2"/>
  <c r="L70" i="2"/>
  <c r="K70" i="2"/>
  <c r="M69" i="2"/>
  <c r="L69" i="2"/>
  <c r="K69" i="2"/>
  <c r="I74" i="2"/>
  <c r="H74" i="2"/>
  <c r="M68" i="2"/>
  <c r="L68" i="2"/>
  <c r="K68" i="2"/>
  <c r="I73" i="2"/>
  <c r="H73" i="2"/>
  <c r="G73" i="2"/>
  <c r="L67" i="2"/>
  <c r="K67" i="2"/>
  <c r="F72" i="2"/>
  <c r="C11" i="5" s="1"/>
  <c r="M66" i="2"/>
  <c r="L66" i="2"/>
  <c r="K66" i="2"/>
  <c r="I71" i="2"/>
  <c r="I72" i="2" s="1"/>
  <c r="H71" i="2"/>
  <c r="H72" i="2" s="1"/>
  <c r="M65" i="2"/>
  <c r="L65" i="2"/>
  <c r="K65" i="2"/>
  <c r="I70" i="2"/>
  <c r="H70" i="2"/>
  <c r="G70" i="2"/>
  <c r="F69" i="2"/>
  <c r="C16" i="5" s="1"/>
  <c r="M63" i="2"/>
  <c r="L63" i="2"/>
  <c r="I68" i="2"/>
  <c r="H68" i="2"/>
  <c r="H64" i="2"/>
  <c r="G68" i="2"/>
  <c r="M58" i="2"/>
  <c r="M64" i="2" s="1"/>
  <c r="L58" i="2"/>
  <c r="I64" i="2"/>
  <c r="I69" i="2" s="1"/>
  <c r="G64" i="2"/>
  <c r="M87" i="2"/>
  <c r="L87" i="2"/>
  <c r="K87" i="2"/>
  <c r="I92" i="2"/>
  <c r="H92" i="2"/>
  <c r="G92" i="2"/>
  <c r="I63" i="2"/>
  <c r="H63" i="2"/>
  <c r="G63" i="2"/>
  <c r="C17" i="5"/>
  <c r="I60" i="2"/>
  <c r="I62" i="2" s="1"/>
  <c r="G60" i="2"/>
  <c r="G62" i="2" s="1"/>
  <c r="M57" i="2"/>
  <c r="L57" i="2"/>
  <c r="K57" i="2"/>
  <c r="I59" i="2"/>
  <c r="H59" i="2"/>
  <c r="G59" i="2"/>
  <c r="L56" i="2"/>
  <c r="K56" i="2"/>
  <c r="H58" i="2"/>
  <c r="G58" i="2"/>
  <c r="I56" i="2"/>
  <c r="H56" i="2"/>
  <c r="G56" i="2"/>
  <c r="I55" i="2"/>
  <c r="H55" i="2"/>
  <c r="G55" i="2"/>
  <c r="I54" i="2"/>
  <c r="H54" i="2"/>
  <c r="G54" i="2"/>
  <c r="I52" i="2"/>
  <c r="H52" i="2"/>
  <c r="G52" i="2"/>
  <c r="I51" i="2"/>
  <c r="H51" i="2"/>
  <c r="G51" i="2"/>
  <c r="I50" i="2"/>
  <c r="H50" i="2"/>
  <c r="G50" i="2"/>
  <c r="I49" i="2"/>
  <c r="H49" i="2"/>
  <c r="G49" i="2"/>
  <c r="H48" i="2"/>
  <c r="G48" i="2"/>
  <c r="C14" i="5"/>
  <c r="I47" i="2"/>
  <c r="H47" i="2"/>
  <c r="G47" i="2"/>
  <c r="M45" i="2"/>
  <c r="L45" i="2"/>
  <c r="K45" i="2"/>
  <c r="I46" i="2"/>
  <c r="H46" i="2"/>
  <c r="G46" i="2"/>
  <c r="L44" i="2"/>
  <c r="K44" i="2"/>
  <c r="H45" i="2"/>
  <c r="G45" i="2"/>
  <c r="M43" i="2"/>
  <c r="L43" i="2"/>
  <c r="K43" i="2"/>
  <c r="I44" i="2"/>
  <c r="H44" i="2"/>
  <c r="G44" i="2"/>
  <c r="M41" i="2"/>
  <c r="L41" i="2"/>
  <c r="K41" i="2"/>
  <c r="I42" i="2"/>
  <c r="H42" i="2"/>
  <c r="G42" i="2"/>
  <c r="M40" i="2"/>
  <c r="L40" i="2"/>
  <c r="K40" i="2"/>
  <c r="I41" i="2"/>
  <c r="H41" i="2"/>
  <c r="G41" i="2"/>
  <c r="H40" i="2"/>
  <c r="G40" i="2"/>
  <c r="I35" i="2"/>
  <c r="H35" i="2"/>
  <c r="G35" i="2"/>
  <c r="I33" i="2"/>
  <c r="H33" i="2"/>
  <c r="G33" i="2"/>
  <c r="I30" i="2"/>
  <c r="H30" i="2"/>
  <c r="G30" i="2"/>
  <c r="I28" i="2"/>
  <c r="H28" i="2"/>
  <c r="G28" i="2"/>
  <c r="I27" i="2"/>
  <c r="H27" i="2"/>
  <c r="G27" i="2"/>
  <c r="M25" i="2"/>
  <c r="L25" i="2"/>
  <c r="K25" i="2"/>
  <c r="I26" i="2"/>
  <c r="H26" i="2"/>
  <c r="G26" i="2"/>
  <c r="L24" i="2"/>
  <c r="K24" i="2"/>
  <c r="H25" i="2"/>
  <c r="G25" i="2"/>
  <c r="F25" i="2"/>
  <c r="I25" i="2" s="1"/>
  <c r="M23" i="2"/>
  <c r="L23" i="2"/>
  <c r="K23" i="2"/>
  <c r="I24" i="2"/>
  <c r="H24" i="2"/>
  <c r="G24" i="2"/>
  <c r="I23" i="2"/>
  <c r="H23" i="2"/>
  <c r="G23" i="2"/>
  <c r="M22" i="2"/>
  <c r="L22" i="2"/>
  <c r="K22" i="2"/>
  <c r="M21" i="2"/>
  <c r="L21" i="2"/>
  <c r="K21" i="2"/>
  <c r="I22" i="2"/>
  <c r="H22" i="2"/>
  <c r="G22" i="2"/>
  <c r="M20" i="2"/>
  <c r="L20" i="2"/>
  <c r="K20" i="2"/>
  <c r="H21" i="2"/>
  <c r="G21" i="2"/>
  <c r="M16" i="2"/>
  <c r="L16" i="2"/>
  <c r="K16" i="2"/>
  <c r="I16" i="2"/>
  <c r="H16" i="2"/>
  <c r="G16" i="2"/>
  <c r="L15" i="2"/>
  <c r="K15" i="2"/>
  <c r="H15" i="2"/>
  <c r="G15" i="2"/>
  <c r="M13" i="2"/>
  <c r="L13" i="2"/>
  <c r="K13" i="2"/>
  <c r="I13" i="2"/>
  <c r="H13" i="2"/>
  <c r="G13" i="2"/>
  <c r="G78" i="1"/>
  <c r="H78" i="1"/>
  <c r="I78" i="1"/>
  <c r="G74" i="1"/>
  <c r="H74" i="1"/>
  <c r="I74" i="1"/>
  <c r="G73" i="1"/>
  <c r="H73" i="1"/>
  <c r="I73" i="1"/>
  <c r="G37" i="1"/>
  <c r="H37" i="1"/>
  <c r="I37" i="1"/>
  <c r="G32" i="1"/>
  <c r="H32" i="1"/>
  <c r="I32" i="1"/>
  <c r="G31" i="1"/>
  <c r="H31" i="1"/>
  <c r="I31" i="1"/>
  <c r="G30" i="1"/>
  <c r="H30" i="1"/>
  <c r="I30" i="1"/>
  <c r="G28" i="1"/>
  <c r="H28" i="1"/>
  <c r="I28" i="1"/>
  <c r="G27" i="1"/>
  <c r="H27" i="1"/>
  <c r="I27" i="1"/>
  <c r="G26" i="1"/>
  <c r="H26" i="1"/>
  <c r="I26" i="1"/>
  <c r="G25" i="1"/>
  <c r="H25" i="1"/>
  <c r="I25" i="1"/>
  <c r="G24" i="1"/>
  <c r="H24" i="1"/>
  <c r="I24" i="1"/>
  <c r="G53" i="1"/>
  <c r="H53" i="1"/>
  <c r="I53" i="1"/>
  <c r="G52" i="1"/>
  <c r="H52" i="1"/>
  <c r="I52" i="1"/>
  <c r="G51" i="1"/>
  <c r="H51" i="1"/>
  <c r="G50" i="1"/>
  <c r="H50" i="1"/>
  <c r="I51" i="1"/>
  <c r="I50" i="1"/>
  <c r="I67" i="1"/>
  <c r="I22" i="1"/>
  <c r="I14" i="1"/>
  <c r="I42" i="1"/>
  <c r="I98" i="1"/>
  <c r="H98" i="1"/>
  <c r="G98" i="1"/>
  <c r="M97" i="1"/>
  <c r="L97" i="1"/>
  <c r="K97" i="1"/>
  <c r="I97" i="1"/>
  <c r="H97" i="1"/>
  <c r="G97" i="1"/>
  <c r="M96" i="1"/>
  <c r="L96" i="1"/>
  <c r="K96" i="1"/>
  <c r="I96" i="1"/>
  <c r="H96" i="1"/>
  <c r="G96" i="1"/>
  <c r="M95" i="1"/>
  <c r="L95" i="1"/>
  <c r="K95" i="1"/>
  <c r="I95" i="1"/>
  <c r="H95" i="1"/>
  <c r="G95" i="1"/>
  <c r="M94" i="1"/>
  <c r="L94" i="1"/>
  <c r="K94" i="1"/>
  <c r="H94" i="1"/>
  <c r="G94" i="1"/>
  <c r="I94" i="1"/>
  <c r="M93" i="1"/>
  <c r="L93" i="1"/>
  <c r="K93" i="1"/>
  <c r="I93" i="1"/>
  <c r="H93" i="1"/>
  <c r="G93" i="1"/>
  <c r="M91" i="1"/>
  <c r="L91" i="1"/>
  <c r="K91" i="1"/>
  <c r="I91" i="1"/>
  <c r="H91" i="1"/>
  <c r="G91" i="1"/>
  <c r="M90" i="1"/>
  <c r="L90" i="1"/>
  <c r="K90" i="1"/>
  <c r="I90" i="1"/>
  <c r="H90" i="1"/>
  <c r="G90" i="1"/>
  <c r="M88" i="1"/>
  <c r="L88" i="1"/>
  <c r="K88" i="1"/>
  <c r="I88" i="1"/>
  <c r="H88" i="1"/>
  <c r="G88" i="1"/>
  <c r="M87" i="1"/>
  <c r="L87" i="1"/>
  <c r="K87" i="1"/>
  <c r="I87" i="1"/>
  <c r="H87" i="1"/>
  <c r="G87" i="1"/>
  <c r="M86" i="1"/>
  <c r="L86" i="1"/>
  <c r="K86" i="1"/>
  <c r="I86" i="1"/>
  <c r="H86" i="1"/>
  <c r="G86" i="1"/>
  <c r="M85" i="1"/>
  <c r="L85" i="1"/>
  <c r="K85" i="1"/>
  <c r="H85" i="1"/>
  <c r="G85" i="1"/>
  <c r="I85" i="1"/>
  <c r="M81" i="1"/>
  <c r="L81" i="1"/>
  <c r="K81" i="1"/>
  <c r="I81" i="1"/>
  <c r="H81" i="1"/>
  <c r="G81" i="1"/>
  <c r="M80" i="1"/>
  <c r="L80" i="1"/>
  <c r="K80" i="1"/>
  <c r="I80" i="1"/>
  <c r="H80" i="1"/>
  <c r="G80" i="1"/>
  <c r="M79" i="1"/>
  <c r="L79" i="1"/>
  <c r="K79" i="1"/>
  <c r="H79" i="1"/>
  <c r="G79" i="1"/>
  <c r="M77" i="1"/>
  <c r="L77" i="1"/>
  <c r="K77" i="1"/>
  <c r="M76" i="1"/>
  <c r="L76" i="1"/>
  <c r="K76" i="1"/>
  <c r="I76" i="1"/>
  <c r="H76" i="1"/>
  <c r="G76" i="1"/>
  <c r="M75" i="1"/>
  <c r="L75" i="1"/>
  <c r="I75" i="1"/>
  <c r="H75" i="1"/>
  <c r="G75" i="1"/>
  <c r="K75" i="1"/>
  <c r="I77" i="1"/>
  <c r="H77" i="1"/>
  <c r="G77" i="1"/>
  <c r="M72" i="1"/>
  <c r="L72" i="1"/>
  <c r="I72" i="1"/>
  <c r="H72" i="1"/>
  <c r="G72" i="1"/>
  <c r="K72" i="1"/>
  <c r="M71" i="1"/>
  <c r="L71" i="1"/>
  <c r="K71" i="1"/>
  <c r="I71" i="1"/>
  <c r="G71" i="1"/>
  <c r="H71" i="1"/>
  <c r="M69" i="1"/>
  <c r="L69" i="1"/>
  <c r="K69" i="1"/>
  <c r="I69" i="1"/>
  <c r="H69" i="1"/>
  <c r="G69" i="1"/>
  <c r="I79" i="1"/>
  <c r="M68" i="1"/>
  <c r="L68" i="1"/>
  <c r="K68" i="1"/>
  <c r="I68" i="1"/>
  <c r="H68" i="1"/>
  <c r="G68" i="1"/>
  <c r="M67" i="1"/>
  <c r="L67" i="1"/>
  <c r="K67" i="1"/>
  <c r="H67" i="1"/>
  <c r="G67" i="1"/>
  <c r="M66" i="1"/>
  <c r="L66" i="1"/>
  <c r="K66" i="1"/>
  <c r="I66" i="1"/>
  <c r="H66" i="1"/>
  <c r="M65" i="1"/>
  <c r="L65" i="1"/>
  <c r="K65" i="1"/>
  <c r="I65" i="1"/>
  <c r="H65" i="1"/>
  <c r="G65" i="1"/>
  <c r="L64" i="1"/>
  <c r="K64" i="1"/>
  <c r="H64" i="1"/>
  <c r="G64" i="1"/>
  <c r="M63" i="1"/>
  <c r="L63" i="1"/>
  <c r="K63" i="1"/>
  <c r="I63" i="1"/>
  <c r="H63" i="1"/>
  <c r="G63" i="1"/>
  <c r="M60" i="1"/>
  <c r="L60" i="1"/>
  <c r="K60" i="1"/>
  <c r="I60" i="1"/>
  <c r="H60" i="1"/>
  <c r="I64" i="1"/>
  <c r="M92" i="1"/>
  <c r="L92" i="1"/>
  <c r="M64" i="1"/>
  <c r="I92" i="1"/>
  <c r="H92" i="1"/>
  <c r="G92" i="1"/>
  <c r="M59" i="1"/>
  <c r="L59" i="1"/>
  <c r="K59" i="1"/>
  <c r="I59" i="1"/>
  <c r="H59" i="1"/>
  <c r="G59" i="1"/>
  <c r="L58" i="1"/>
  <c r="K58" i="1"/>
  <c r="M58" i="1"/>
  <c r="H58" i="1"/>
  <c r="G58" i="1"/>
  <c r="M57" i="1"/>
  <c r="L57" i="1"/>
  <c r="K57" i="1"/>
  <c r="I57" i="1"/>
  <c r="H57" i="1"/>
  <c r="G57" i="1"/>
  <c r="M56" i="1"/>
  <c r="L56" i="1"/>
  <c r="K56" i="1"/>
  <c r="I56" i="1"/>
  <c r="H56" i="1"/>
  <c r="G56" i="1"/>
  <c r="M55" i="1"/>
  <c r="L55" i="1"/>
  <c r="K55" i="1"/>
  <c r="H55" i="1"/>
  <c r="G55" i="1"/>
  <c r="I55" i="1"/>
  <c r="M49" i="1"/>
  <c r="L49" i="1"/>
  <c r="K49" i="1"/>
  <c r="I49" i="1"/>
  <c r="H49" i="1"/>
  <c r="G49" i="1"/>
  <c r="M48" i="1"/>
  <c r="L48" i="1"/>
  <c r="K48" i="1"/>
  <c r="I48" i="1"/>
  <c r="H48" i="1"/>
  <c r="G48" i="1"/>
  <c r="M47" i="1"/>
  <c r="L47" i="1"/>
  <c r="K47" i="1"/>
  <c r="I47" i="1"/>
  <c r="H47" i="1"/>
  <c r="G47" i="1"/>
  <c r="M46" i="1"/>
  <c r="L46" i="1"/>
  <c r="K46" i="1"/>
  <c r="I46" i="1"/>
  <c r="H46" i="1"/>
  <c r="G46" i="1"/>
  <c r="M45" i="1"/>
  <c r="L45" i="1"/>
  <c r="K45" i="1"/>
  <c r="H45" i="1"/>
  <c r="G45" i="1"/>
  <c r="M44" i="1"/>
  <c r="L44" i="1"/>
  <c r="K44" i="1"/>
  <c r="I44" i="1"/>
  <c r="H44" i="1"/>
  <c r="I45" i="1"/>
  <c r="M43" i="1"/>
  <c r="L43" i="1"/>
  <c r="K43" i="1"/>
  <c r="I43" i="1"/>
  <c r="H43" i="1"/>
  <c r="G43" i="1"/>
  <c r="M42" i="1"/>
  <c r="L42" i="1"/>
  <c r="K42" i="1"/>
  <c r="H42" i="1"/>
  <c r="G42" i="1"/>
  <c r="M41" i="1"/>
  <c r="L41" i="1"/>
  <c r="K41" i="1"/>
  <c r="I41" i="1"/>
  <c r="H41" i="1"/>
  <c r="G41" i="1"/>
  <c r="M40" i="1"/>
  <c r="L40" i="1"/>
  <c r="K40" i="1"/>
  <c r="I40" i="1"/>
  <c r="H40" i="1"/>
  <c r="G40" i="1"/>
  <c r="M39" i="1"/>
  <c r="L39" i="1"/>
  <c r="K39" i="1"/>
  <c r="I39" i="1"/>
  <c r="H39" i="1"/>
  <c r="G39" i="1"/>
  <c r="M38" i="1"/>
  <c r="L38" i="1"/>
  <c r="K38" i="1"/>
  <c r="H38" i="1"/>
  <c r="G38" i="1"/>
  <c r="M33" i="1"/>
  <c r="L33" i="1"/>
  <c r="K33" i="1"/>
  <c r="I33" i="1"/>
  <c r="H33" i="1"/>
  <c r="G33" i="1"/>
  <c r="M23" i="1"/>
  <c r="L23" i="1"/>
  <c r="K23" i="1"/>
  <c r="I23" i="1"/>
  <c r="H23" i="1"/>
  <c r="G23" i="1"/>
  <c r="M22" i="1"/>
  <c r="L22" i="1"/>
  <c r="K22" i="1"/>
  <c r="H22" i="1"/>
  <c r="G22" i="1"/>
  <c r="M21" i="1"/>
  <c r="L21" i="1"/>
  <c r="K21" i="1"/>
  <c r="I21" i="1"/>
  <c r="H21" i="1"/>
  <c r="G21" i="1"/>
  <c r="M20" i="1"/>
  <c r="L20" i="1"/>
  <c r="K20" i="1"/>
  <c r="I20" i="1"/>
  <c r="H20" i="1"/>
  <c r="G20" i="1"/>
  <c r="M19" i="1"/>
  <c r="L19" i="1"/>
  <c r="K19" i="1"/>
  <c r="I19" i="1"/>
  <c r="H19" i="1"/>
  <c r="M18" i="1"/>
  <c r="L18" i="1"/>
  <c r="K18" i="1"/>
  <c r="I18" i="1"/>
  <c r="H18" i="1"/>
  <c r="G18" i="1"/>
  <c r="M17" i="1"/>
  <c r="L17" i="1"/>
  <c r="K17" i="1"/>
  <c r="H17" i="1"/>
  <c r="G17" i="1"/>
  <c r="M16" i="1"/>
  <c r="L16" i="1"/>
  <c r="K16" i="1"/>
  <c r="I16" i="1"/>
  <c r="H16" i="1"/>
  <c r="G16" i="1"/>
  <c r="I17" i="1"/>
  <c r="M15" i="1"/>
  <c r="L15" i="1"/>
  <c r="K15" i="1"/>
  <c r="I15" i="1"/>
  <c r="H15" i="1"/>
  <c r="G15" i="1"/>
  <c r="M14" i="1"/>
  <c r="L14" i="1"/>
  <c r="K14" i="1"/>
  <c r="H14" i="1"/>
  <c r="G14" i="1"/>
  <c r="M13" i="1"/>
  <c r="L13" i="1"/>
  <c r="K13" i="1"/>
  <c r="I13" i="1"/>
  <c r="H13" i="1"/>
  <c r="G13" i="1"/>
  <c r="M12" i="1"/>
  <c r="L12" i="1"/>
  <c r="K12" i="1"/>
  <c r="I12" i="1"/>
  <c r="H12" i="1"/>
  <c r="G12" i="1"/>
  <c r="M11" i="1"/>
  <c r="L11" i="1"/>
  <c r="K11" i="1"/>
  <c r="I11" i="1"/>
  <c r="H11" i="1"/>
  <c r="G11" i="1"/>
  <c r="G44" i="1"/>
  <c r="I58" i="1"/>
  <c r="K92" i="1"/>
  <c r="G60" i="1"/>
  <c r="G19" i="1"/>
  <c r="G66" i="1"/>
  <c r="D18" i="5"/>
  <c r="D5" i="5"/>
  <c r="D11" i="5"/>
  <c r="D15" i="5"/>
  <c r="D6" i="5"/>
  <c r="D14" i="5"/>
  <c r="D17" i="5"/>
  <c r="D16" i="5"/>
  <c r="D19" i="5"/>
  <c r="J95" i="2" l="1"/>
  <c r="J97" i="2" s="1"/>
  <c r="J99" i="2" s="1"/>
  <c r="F21" i="2"/>
  <c r="C8" i="5" s="1"/>
  <c r="F45" i="2"/>
  <c r="C12" i="5" s="1"/>
  <c r="I90" i="2"/>
  <c r="I48" i="2"/>
  <c r="G90" i="2"/>
  <c r="M77" i="2"/>
  <c r="M85" i="2"/>
  <c r="M56" i="2"/>
  <c r="G69" i="2"/>
  <c r="H69" i="2"/>
  <c r="F8" i="2"/>
  <c r="F15" i="2"/>
  <c r="I58" i="2"/>
  <c r="K64" i="2"/>
  <c r="H90" i="2"/>
  <c r="C10" i="5"/>
  <c r="I80" i="2"/>
  <c r="H80" i="2"/>
  <c r="G80" i="2"/>
  <c r="C9" i="5"/>
  <c r="L64" i="2"/>
  <c r="C3" i="5"/>
  <c r="C4" i="5"/>
  <c r="D12" i="5"/>
  <c r="D9" i="5"/>
  <c r="D4" i="5"/>
  <c r="D10" i="5"/>
  <c r="D3" i="5"/>
  <c r="D8" i="5"/>
  <c r="I15" i="2" l="1"/>
  <c r="F97" i="2"/>
  <c r="F99" i="2" s="1"/>
  <c r="I45" i="2"/>
  <c r="G97" i="2"/>
  <c r="G99" i="2" s="1"/>
  <c r="M15" i="2"/>
  <c r="C13" i="5"/>
  <c r="I21" i="2"/>
  <c r="C7" i="5"/>
  <c r="H97" i="2"/>
  <c r="H99" i="2" s="1"/>
  <c r="I40" i="2"/>
  <c r="D7" i="5"/>
  <c r="D13" i="5"/>
  <c r="I97" i="2" l="1"/>
  <c r="I99" i="2" s="1"/>
  <c r="D1" i="3"/>
</calcChain>
</file>

<file path=xl/sharedStrings.xml><?xml version="1.0" encoding="utf-8"?>
<sst xmlns="http://schemas.openxmlformats.org/spreadsheetml/2006/main" count="519" uniqueCount="180">
  <si>
    <t>Beginning Balance</t>
  </si>
  <si>
    <t>Interest (estimated)</t>
  </si>
  <si>
    <t>Total Funds Available</t>
  </si>
  <si>
    <t>Academic</t>
  </si>
  <si>
    <t>Total</t>
  </si>
  <si>
    <t>Community Outreach</t>
  </si>
  <si>
    <t>Career Development</t>
  </si>
  <si>
    <t>Chicago Networking Event - Spring Semester</t>
  </si>
  <si>
    <t>Family Life</t>
  </si>
  <si>
    <t>Play Group</t>
  </si>
  <si>
    <t>Leadership</t>
  </si>
  <si>
    <t>Graduation</t>
  </si>
  <si>
    <t>International</t>
  </si>
  <si>
    <t>MBAA - Operations</t>
  </si>
  <si>
    <t>MBAA - Initiatives</t>
  </si>
  <si>
    <t>Elections (President, Officers, Crowd Sourcing) - November</t>
  </si>
  <si>
    <t>K-Cup Pilot</t>
  </si>
  <si>
    <t>Alumni</t>
  </si>
  <si>
    <t>Class of 2014 - Pint Glasses for Giving Campaign</t>
  </si>
  <si>
    <t>Student Activities</t>
  </si>
  <si>
    <t>Christmas Formal - Dec</t>
  </si>
  <si>
    <t>Technology</t>
  </si>
  <si>
    <t>Club Support</t>
  </si>
  <si>
    <t>Requestable Funds (for the good of all clubs)</t>
  </si>
  <si>
    <t>Committee Support</t>
  </si>
  <si>
    <t>Total Expenses</t>
  </si>
  <si>
    <t>Mod 1</t>
  </si>
  <si>
    <t>Story Telling</t>
  </si>
  <si>
    <t>Mod 2</t>
  </si>
  <si>
    <t>Mod 1,2,3&amp;4</t>
  </si>
  <si>
    <t>Mod 3</t>
  </si>
  <si>
    <t xml:space="preserve">Summer Send-off - May </t>
  </si>
  <si>
    <t>Mod 4</t>
  </si>
  <si>
    <t>Mentoring Lunches</t>
  </si>
  <si>
    <t>Dean Woo Leadership Award Plagues</t>
  </si>
  <si>
    <t>Bagel Breakfasts</t>
  </si>
  <si>
    <t>Case Competition Committee Support</t>
  </si>
  <si>
    <t>Concession Stand Equipment</t>
  </si>
  <si>
    <t>Misc Club Support</t>
  </si>
  <si>
    <t>Volunteer outreach events</t>
  </si>
  <si>
    <t>New Internationals outing</t>
  </si>
  <si>
    <t>Meet and Greet</t>
  </si>
  <si>
    <t>Career event - Resume &amp; CL's</t>
  </si>
  <si>
    <t>Integrated Club event - with GBC and Asian MBA Club</t>
  </si>
  <si>
    <t>Career Event - Speed Networking</t>
  </si>
  <si>
    <t>Cultural events - International Focus</t>
  </si>
  <si>
    <t>Mod 1&amp;2</t>
  </si>
  <si>
    <t>Mod 2,3&amp;4</t>
  </si>
  <si>
    <t>Game plan for next year</t>
  </si>
  <si>
    <t>Family Cookout</t>
  </si>
  <si>
    <t>Hockey Game</t>
  </si>
  <si>
    <t>Thistleberry Farm</t>
  </si>
  <si>
    <t>Book Club</t>
  </si>
  <si>
    <t>On-going Activities</t>
  </si>
  <si>
    <t>Tailgates</t>
  </si>
  <si>
    <t>Thanksgiving Dinner</t>
  </si>
  <si>
    <t xml:space="preserve">MBA Formal </t>
  </si>
  <si>
    <t>Misc Purchases</t>
  </si>
  <si>
    <t>End of the year</t>
  </si>
  <si>
    <t>On-going Activity</t>
  </si>
  <si>
    <t>Anticipated Carry Over to 2015-2016</t>
  </si>
  <si>
    <t>Actual Amount Spent/ Received</t>
  </si>
  <si>
    <t>Sem 1</t>
  </si>
  <si>
    <t>Sem 2</t>
  </si>
  <si>
    <t>Diversity Conference committee support</t>
  </si>
  <si>
    <t>Basketball Game</t>
  </si>
  <si>
    <t>Congratulatory gifts for new-borns and weddings/engagements</t>
  </si>
  <si>
    <t>South Bend Cubs Baseball Game - FLC/SAC</t>
  </si>
  <si>
    <t>Zoo trip - FLC/SAC</t>
  </si>
  <si>
    <t>Account Code</t>
  </si>
  <si>
    <t>Transaction Date</t>
  </si>
  <si>
    <t>Category</t>
  </si>
  <si>
    <t>Description</t>
  </si>
  <si>
    <t>00 - Roll Over from Prior Year</t>
  </si>
  <si>
    <t>01 - Student Association Fees</t>
  </si>
  <si>
    <t>02 - Interest Income</t>
  </si>
  <si>
    <t xml:space="preserve">03 - Student Activity Committee </t>
  </si>
  <si>
    <t>04 - Academic Affairs</t>
  </si>
  <si>
    <t>05 - Community Outreach</t>
  </si>
  <si>
    <t>06 - Career Development</t>
  </si>
  <si>
    <t>07 - Family Life</t>
  </si>
  <si>
    <t>08 - Alumni Relations</t>
  </si>
  <si>
    <t>09 - Leadership</t>
  </si>
  <si>
    <t>10 - International Student Committee</t>
  </si>
  <si>
    <t>11 - Graduation</t>
  </si>
  <si>
    <t>12 - Technology</t>
  </si>
  <si>
    <t>13 - MBAA Initiatives</t>
  </si>
  <si>
    <t>14 - MBAA Operations</t>
  </si>
  <si>
    <t>15 - Misc. Club Support</t>
  </si>
  <si>
    <t>16 - Misc. Committee Support</t>
  </si>
  <si>
    <t>20 - Journal Transfer / Error Reversal</t>
  </si>
  <si>
    <t>Placeholder</t>
  </si>
  <si>
    <t>Debit - /Credit +</t>
  </si>
  <si>
    <t>Recipient</t>
  </si>
  <si>
    <t>Row Labels</t>
  </si>
  <si>
    <t>(blank)</t>
  </si>
  <si>
    <t>Grand Total</t>
  </si>
  <si>
    <t>Sum of Debit - /Credit +</t>
  </si>
  <si>
    <t>Thanksgiving brunch North dining hall</t>
  </si>
  <si>
    <t>Allocated Total</t>
  </si>
  <si>
    <t>% Spent</t>
  </si>
  <si>
    <t>End of Semester Cookout</t>
  </si>
  <si>
    <t>Ken Nagai</t>
  </si>
  <si>
    <t>MBAA Lunch</t>
  </si>
  <si>
    <t>Total (net)</t>
  </si>
  <si>
    <t>Expected Date</t>
  </si>
  <si>
    <t>Proj Amount</t>
  </si>
  <si>
    <t>Event</t>
  </si>
  <si>
    <t>Contact/Group</t>
  </si>
  <si>
    <t>One-Year Summer End BBQ</t>
  </si>
  <si>
    <t>Laura McWhirter</t>
  </si>
  <si>
    <t>Int'l Outing</t>
  </si>
  <si>
    <t>Location</t>
  </si>
  <si>
    <t>Column2</t>
  </si>
  <si>
    <t>Extra Hr @ Location</t>
  </si>
  <si>
    <t>Food</t>
  </si>
  <si>
    <t>Other</t>
  </si>
  <si>
    <t>?</t>
  </si>
  <si>
    <t>Bus</t>
  </si>
  <si>
    <t>Snacks</t>
  </si>
  <si>
    <t>Party Tix ?</t>
  </si>
  <si>
    <t xml:space="preserve">Total </t>
  </si>
  <si>
    <t>Comments</t>
  </si>
  <si>
    <t>MBAA Townhalls</t>
  </si>
  <si>
    <t>MBA Website Development</t>
  </si>
  <si>
    <t>Misc Technology Purchases</t>
  </si>
  <si>
    <t>St. Patricks park sledding- FLC/SAC</t>
  </si>
  <si>
    <t>Christmas Cookie Decorating</t>
  </si>
  <si>
    <t>Easter Egg Hunt</t>
  </si>
  <si>
    <t>End of Year BBQ</t>
  </si>
  <si>
    <t>Grad Week Expenses</t>
  </si>
  <si>
    <t>Career Event - Internship Experiences</t>
  </si>
  <si>
    <t>Jul 2015- Jun 2016
Budget</t>
  </si>
  <si>
    <t>2015-2016 MBAA Budget Proposal</t>
  </si>
  <si>
    <t>Student Funds ($250 x 294 students)</t>
  </si>
  <si>
    <t>2014-2015
Budget</t>
  </si>
  <si>
    <t>Anticipated Carry Over to 2016-2017</t>
  </si>
  <si>
    <t>2015 - 2016 MBAA Budget Reconciliation</t>
  </si>
  <si>
    <t>Interest Income</t>
  </si>
  <si>
    <t>July 2015 Income</t>
  </si>
  <si>
    <t>Roll Over</t>
  </si>
  <si>
    <t>August 2015 Income</t>
  </si>
  <si>
    <t>Notre Dame</t>
  </si>
  <si>
    <t>ND Day 2015 Challenge Funds</t>
  </si>
  <si>
    <t>MBA Student Fees</t>
  </si>
  <si>
    <t>MBAA</t>
  </si>
  <si>
    <t>MSM Student Fees</t>
  </si>
  <si>
    <t>MSA Student Fees</t>
  </si>
  <si>
    <t>Visa Web Card</t>
  </si>
  <si>
    <t>Requestable Funds (for the good of all committees)</t>
  </si>
  <si>
    <t>TouchNet Dept</t>
  </si>
  <si>
    <t xml:space="preserve">ND Vending </t>
  </si>
  <si>
    <t>Moneris Acc't Minimum Fee</t>
  </si>
  <si>
    <t>Mosaic Event/Info Session - Lunch</t>
  </si>
  <si>
    <t>Interterm</t>
  </si>
  <si>
    <t>Jeremy/Joe G</t>
  </si>
  <si>
    <t>Thomas Callen</t>
  </si>
  <si>
    <t>Chris Hartlage</t>
  </si>
  <si>
    <t>Jaworski Meat</t>
  </si>
  <si>
    <t>Pence Wiant</t>
  </si>
  <si>
    <t>Texas Tailgate - Hog Roast</t>
  </si>
  <si>
    <t>Chick-fil-A</t>
  </si>
  <si>
    <t>Legends</t>
  </si>
  <si>
    <t xml:space="preserve">GA Tech Tailgate </t>
  </si>
  <si>
    <t>Transfer - Student Assoc Fees</t>
  </si>
  <si>
    <t>MSA, MSM Fees</t>
  </si>
  <si>
    <t>Ben Walker</t>
  </si>
  <si>
    <t>Tailgate - Food/Water</t>
  </si>
  <si>
    <t>Tailgate - Ice</t>
  </si>
  <si>
    <t xml:space="preserve">Texas Tailgate </t>
  </si>
  <si>
    <t>Texas Tailgate</t>
  </si>
  <si>
    <t>Tailgate Equipment</t>
  </si>
  <si>
    <t>GA Tech Tailgate - Ice</t>
  </si>
  <si>
    <t>Leadership Lunch &amp; Plaque</t>
  </si>
  <si>
    <t>FLC Thistleberry Farms</t>
  </si>
  <si>
    <t>Umass Tailgate</t>
  </si>
  <si>
    <t>Leadership Lunch</t>
  </si>
  <si>
    <t>September 2015 Income</t>
  </si>
  <si>
    <t>Moneris Income</t>
  </si>
  <si>
    <t>Moneris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</si>
</sst>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m\ d\,\ yyyy;@"/>
    <numFmt numFmtId="165" formatCode="&quot;$&quot;#,##0.00"/>
  </numFmts>
  <fonts count="26" x14ac:knownFonts="1">
    <font>
      <sz val="10"/>
      <name val="Verdana"/>
    </font>
    <font>
      <sz val="11"/>
      <color theme="1"/>
      <name val="Calibri"/>
      <family val="2"/>
      <scheme val="minor"/>
    </font>
    <font>
      <b/>
      <sz val="14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9" applyNumberFormat="0" applyAlignment="0" applyProtection="0"/>
    <xf numFmtId="0" fontId="18" fillId="14" borderId="10" applyNumberFormat="0" applyAlignment="0" applyProtection="0"/>
    <xf numFmtId="0" fontId="19" fillId="14" borderId="9" applyNumberFormat="0" applyAlignment="0" applyProtection="0"/>
    <xf numFmtId="0" fontId="20" fillId="0" borderId="11" applyNumberFormat="0" applyFill="0" applyAlignment="0" applyProtection="0"/>
    <xf numFmtId="0" fontId="21" fillId="15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5" fillId="40" borderId="0" applyNumberFormat="0" applyBorder="0" applyAlignment="0" applyProtection="0"/>
    <xf numFmtId="0" fontId="1" fillId="0" borderId="0"/>
    <xf numFmtId="0" fontId="1" fillId="16" borderId="13" applyNumberFormat="0" applyFont="0" applyAlignment="0" applyProtection="0"/>
  </cellStyleXfs>
  <cellXfs count="91">
    <xf numFmtId="0" fontId="0" fillId="0" borderId="0" xfId="0"/>
    <xf numFmtId="0" fontId="0" fillId="0" borderId="0" xfId="0" applyFont="1"/>
    <xf numFmtId="0" fontId="2" fillId="0" borderId="0" xfId="0" applyFont="1" applyBorder="1"/>
    <xf numFmtId="0" fontId="0" fillId="0" borderId="0" xfId="0" applyBorder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>
      <alignment wrapText="1"/>
    </xf>
    <xf numFmtId="0" fontId="0" fillId="0" borderId="4" xfId="0" applyBorder="1"/>
    <xf numFmtId="44" fontId="0" fillId="0" borderId="4" xfId="1" applyFont="1" applyBorder="1"/>
    <xf numFmtId="44" fontId="0" fillId="3" borderId="4" xfId="1" applyFont="1" applyFill="1" applyBorder="1"/>
    <xf numFmtId="0" fontId="4" fillId="0" borderId="4" xfId="0" applyFont="1" applyBorder="1"/>
    <xf numFmtId="0" fontId="5" fillId="4" borderId="4" xfId="0" applyFont="1" applyFill="1" applyBorder="1"/>
    <xf numFmtId="44" fontId="5" fillId="4" borderId="4" xfId="1" applyFont="1" applyFill="1" applyBorder="1"/>
    <xf numFmtId="44" fontId="5" fillId="3" borderId="4" xfId="1" applyFont="1" applyFill="1" applyBorder="1"/>
    <xf numFmtId="44" fontId="0" fillId="0" borderId="0" xfId="1" applyFont="1"/>
    <xf numFmtId="0" fontId="4" fillId="0" borderId="4" xfId="0" applyFont="1" applyFill="1" applyBorder="1"/>
    <xf numFmtId="0" fontId="4" fillId="0" borderId="0" xfId="0" applyFont="1"/>
    <xf numFmtId="0" fontId="5" fillId="0" borderId="4" xfId="0" applyFont="1" applyFill="1" applyBorder="1"/>
    <xf numFmtId="44" fontId="5" fillId="0" borderId="4" xfId="1" applyFont="1" applyBorder="1"/>
    <xf numFmtId="6" fontId="5" fillId="3" borderId="4" xfId="1" applyNumberFormat="1" applyFont="1" applyFill="1" applyBorder="1"/>
    <xf numFmtId="44" fontId="0" fillId="0" borderId="4" xfId="0" applyNumberFormat="1" applyBorder="1" applyAlignment="1">
      <alignment horizontal="left"/>
    </xf>
    <xf numFmtId="44" fontId="4" fillId="3" borderId="4" xfId="1" applyFont="1" applyFill="1" applyBorder="1"/>
    <xf numFmtId="44" fontId="5" fillId="0" borderId="4" xfId="0" applyNumberFormat="1" applyFont="1" applyBorder="1"/>
    <xf numFmtId="44" fontId="5" fillId="3" borderId="4" xfId="0" applyNumberFormat="1" applyFont="1" applyFill="1" applyBorder="1"/>
    <xf numFmtId="0" fontId="4" fillId="5" borderId="4" xfId="0" applyFont="1" applyFill="1" applyBorder="1"/>
    <xf numFmtId="44" fontId="0" fillId="5" borderId="4" xfId="1" applyFont="1" applyFill="1" applyBorder="1"/>
    <xf numFmtId="0" fontId="4" fillId="5" borderId="4" xfId="0" applyFont="1" applyFill="1" applyBorder="1" applyAlignment="1">
      <alignment horizontal="left"/>
    </xf>
    <xf numFmtId="44" fontId="4" fillId="5" borderId="4" xfId="1" applyFont="1" applyFill="1" applyBorder="1" applyAlignment="1">
      <alignment horizontal="left"/>
    </xf>
    <xf numFmtId="44" fontId="4" fillId="3" borderId="4" xfId="1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44" fontId="5" fillId="5" borderId="4" xfId="1" applyFont="1" applyFill="1" applyBorder="1" applyAlignment="1">
      <alignment horizontal="left"/>
    </xf>
    <xf numFmtId="44" fontId="5" fillId="3" borderId="4" xfId="1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44" fontId="5" fillId="7" borderId="4" xfId="0" applyNumberFormat="1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44" fontId="5" fillId="8" borderId="4" xfId="0" applyNumberFormat="1" applyFont="1" applyFill="1" applyBorder="1" applyAlignment="1">
      <alignment horizontal="left"/>
    </xf>
    <xf numFmtId="0" fontId="4" fillId="0" borderId="0" xfId="0" applyFont="1" applyFill="1" applyBorder="1"/>
    <xf numFmtId="44" fontId="0" fillId="0" borderId="0" xfId="0" applyNumberFormat="1"/>
    <xf numFmtId="44" fontId="5" fillId="0" borderId="4" xfId="1" applyNumberFormat="1" applyFont="1" applyBorder="1"/>
    <xf numFmtId="44" fontId="0" fillId="0" borderId="4" xfId="1" applyFont="1" applyFill="1" applyBorder="1"/>
    <xf numFmtId="44" fontId="5" fillId="6" borderId="4" xfId="1" applyFont="1" applyFill="1" applyBorder="1" applyAlignment="1">
      <alignment horizontal="left"/>
    </xf>
    <xf numFmtId="0" fontId="0" fillId="0" borderId="4" xfId="0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5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0" xfId="0" applyFont="1" applyBorder="1"/>
    <xf numFmtId="44" fontId="5" fillId="3" borderId="4" xfId="1" applyNumberFormat="1" applyFont="1" applyFill="1" applyBorder="1"/>
    <xf numFmtId="0" fontId="3" fillId="2" borderId="4" xfId="0" applyFont="1" applyFill="1" applyBorder="1" applyAlignment="1"/>
    <xf numFmtId="0" fontId="0" fillId="0" borderId="4" xfId="0" applyFont="1" applyBorder="1"/>
    <xf numFmtId="164" fontId="0" fillId="0" borderId="0" xfId="0" applyNumberFormat="1"/>
    <xf numFmtId="44" fontId="4" fillId="0" borderId="0" xfId="1" applyFont="1"/>
    <xf numFmtId="0" fontId="0" fillId="0" borderId="0" xfId="1" applyNumberFormat="1" applyFont="1"/>
    <xf numFmtId="0" fontId="4" fillId="0" borderId="0" xfId="1" applyNumberFormat="1" applyFont="1"/>
    <xf numFmtId="164" fontId="4" fillId="0" borderId="0" xfId="0" applyNumberFormat="1" applyFont="1"/>
    <xf numFmtId="0" fontId="0" fillId="0" borderId="0" xfId="0" applyFill="1"/>
    <xf numFmtId="0" fontId="0" fillId="0" borderId="5" xfId="0" pivotButton="1" applyBorder="1"/>
    <xf numFmtId="0" fontId="0" fillId="0" borderId="5" xfId="0" applyBorder="1"/>
    <xf numFmtId="0" fontId="0" fillId="0" borderId="5" xfId="0" applyBorder="1" applyAlignment="1">
      <alignment horizontal="left"/>
    </xf>
    <xf numFmtId="44" fontId="0" fillId="0" borderId="5" xfId="0" applyNumberFormat="1" applyBorder="1"/>
    <xf numFmtId="0" fontId="4" fillId="0" borderId="5" xfId="0" applyFont="1" applyFill="1" applyBorder="1"/>
    <xf numFmtId="44" fontId="0" fillId="0" borderId="5" xfId="1" applyFont="1" applyBorder="1"/>
    <xf numFmtId="0" fontId="4" fillId="0" borderId="5" xfId="0" applyFont="1" applyBorder="1"/>
    <xf numFmtId="44" fontId="0" fillId="3" borderId="5" xfId="1" applyFont="1" applyFill="1" applyBorder="1"/>
    <xf numFmtId="0" fontId="9" fillId="9" borderId="5" xfId="0" applyFont="1" applyFill="1" applyBorder="1"/>
    <xf numFmtId="9" fontId="0" fillId="0" borderId="5" xfId="10" applyFont="1" applyBorder="1"/>
    <xf numFmtId="0" fontId="4" fillId="5" borderId="5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right"/>
    </xf>
    <xf numFmtId="44" fontId="4" fillId="3" borderId="5" xfId="1" applyFont="1" applyFill="1" applyBorder="1" applyAlignment="1">
      <alignment horizontal="left"/>
    </xf>
    <xf numFmtId="0" fontId="4" fillId="0" borderId="0" xfId="0" applyFont="1" applyFill="1"/>
    <xf numFmtId="0" fontId="0" fillId="0" borderId="0" xfId="1" applyNumberFormat="1" applyFont="1" applyFill="1"/>
    <xf numFmtId="44" fontId="4" fillId="0" borderId="0" xfId="0" applyNumberFormat="1" applyFont="1"/>
    <xf numFmtId="0" fontId="0" fillId="0" borderId="0" xfId="0" applyAlignment="1">
      <alignment horizontal="left"/>
    </xf>
    <xf numFmtId="44" fontId="0" fillId="0" borderId="0" xfId="0" applyNumberFormat="1" applyFill="1"/>
    <xf numFmtId="44" fontId="4" fillId="3" borderId="4" xfId="1" quotePrefix="1" applyFont="1" applyFill="1" applyBorder="1"/>
    <xf numFmtId="164" fontId="0" fillId="0" borderId="0" xfId="0" applyNumberFormat="1" applyFill="1"/>
    <xf numFmtId="44" fontId="0" fillId="0" borderId="0" xfId="1" applyFont="1" applyFill="1"/>
    <xf numFmtId="14" fontId="0" fillId="0" borderId="0" xfId="0" applyNumberFormat="1"/>
    <xf numFmtId="165" fontId="0" fillId="0" borderId="0" xfId="0" applyNumberFormat="1"/>
    <xf numFmtId="165" fontId="5" fillId="0" borderId="0" xfId="0" applyNumberFormat="1" applyFont="1"/>
    <xf numFmtId="165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44" fontId="4" fillId="3" borderId="5" xfId="1" applyFont="1" applyFill="1" applyBorder="1"/>
    <xf numFmtId="44" fontId="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4" xfId="0" applyFill="1" applyBorder="1"/>
    <xf numFmtId="44" fontId="0" fillId="0" borderId="0" xfId="1" applyNumberFormat="1" applyFont="1"/>
    <xf numFmtId="6" fontId="0" fillId="0" borderId="0" xfId="0" applyNumberFormat="1"/>
  </cellXfs>
  <cellStyles count="53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urrency" xfId="1" builtinId="4"/>
    <cellStyle name="Explanatory Text" xfId="25" builtinId="53" customBuiltin="1"/>
    <cellStyle name="Followed Hyperlink" xfId="5" builtinId="9" hidden="1"/>
    <cellStyle name="Followed Hyperlink" xfId="7" builtinId="9" hidden="1"/>
    <cellStyle name="Followed Hyperlink" xfId="9" builtinId="9" hidde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yperlink" xfId="4" builtinId="8" hidden="1"/>
    <cellStyle name="Hyperlink" xfId="6" builtinId="8" hidden="1"/>
    <cellStyle name="Hyperlink" xfId="8" builtinId="8" hidde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2"/>
    <cellStyle name="Normal 3" xfId="51"/>
    <cellStyle name="Note 2" xfId="52"/>
    <cellStyle name="Output" xfId="20" builtinId="21" customBuiltin="1"/>
    <cellStyle name="Percent" xfId="10" builtinId="5"/>
    <cellStyle name="Percent 2" xfId="3"/>
    <cellStyle name="Title" xfId="11" builtinId="15" customBuiltin="1"/>
    <cellStyle name="Total" xfId="26" builtinId="25" customBuiltin="1"/>
    <cellStyle name="Warning Text" xfId="24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numFmt numFmtId="164" formatCode="[$-409]mmmm\ d\,\ yyyy;@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(&quot;$&quot;* #,##0.00_);_(&quot;$&quot;* \(#,##0.00\);_(&quot;$&quot;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m Callen" refreshedDate="42303.492296412034" createdVersion="3" refreshedVersion="5" minRefreshableVersion="3" recordCount="1048574">
  <cacheSource type="worksheet">
    <worksheetSource name="Table1"/>
  </cacheSource>
  <cacheFields count="6">
    <cacheField name="Account Code" numFmtId="0">
      <sharedItems containsString="0" containsBlank="1" containsNumber="1" containsInteger="1" minValue="50000" maxValue="81072"/>
    </cacheField>
    <cacheField name="Transaction Date" numFmtId="164">
      <sharedItems containsNonDate="0" containsDate="1" containsString="0" containsBlank="1" minDate="2015-07-01T00:00:00" maxDate="2015-10-15T00:00:00"/>
    </cacheField>
    <cacheField name="Category" numFmtId="0">
      <sharedItems containsBlank="1" count="19">
        <s v="00 - Roll Over from Prior Year"/>
        <s v="01 - Student Association Fees"/>
        <s v="02 - Interest Income"/>
        <s v="03 - Student Activity Committee "/>
        <s v="04 - Academic Affairs"/>
        <s v="05 - Community Outreach"/>
        <s v="06 - Career Development"/>
        <s v="07 - Family Life"/>
        <s v="08 - Alumni Relations"/>
        <s v="09 - Leadership"/>
        <s v="10 - International Student Committee"/>
        <s v="11 - Graduation"/>
        <s v="12 - Technology"/>
        <s v="13 - MBAA Initiatives"/>
        <s v="14 - MBAA Operations"/>
        <s v="15 - Misc. Club Support"/>
        <s v="16 - Misc. Committee Support"/>
        <s v="20 - Journal Transfer / Error Reversal"/>
        <m/>
      </sharedItems>
    </cacheField>
    <cacheField name="Debit - /Credit +" numFmtId="44">
      <sharedItems containsString="0" containsBlank="1" containsNumber="1" minValue="-14400" maxValue="73500"/>
    </cacheField>
    <cacheField name="Recipient" numFmtId="0">
      <sharedItems containsBlank="1"/>
    </cacheField>
    <cacheField name="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8574">
  <r>
    <m/>
    <m/>
    <x v="0"/>
    <m/>
    <m/>
    <s v="Placeholder"/>
  </r>
  <r>
    <m/>
    <m/>
    <x v="1"/>
    <m/>
    <m/>
    <s v="Placeholder"/>
  </r>
  <r>
    <m/>
    <m/>
    <x v="2"/>
    <m/>
    <m/>
    <s v="Placeholder"/>
  </r>
  <r>
    <m/>
    <m/>
    <x v="3"/>
    <m/>
    <m/>
    <s v="Placeholder"/>
  </r>
  <r>
    <m/>
    <m/>
    <x v="4"/>
    <m/>
    <m/>
    <s v="Placeholder"/>
  </r>
  <r>
    <m/>
    <m/>
    <x v="5"/>
    <m/>
    <m/>
    <s v="Placeholder"/>
  </r>
  <r>
    <m/>
    <m/>
    <x v="6"/>
    <m/>
    <m/>
    <s v="Placeholder"/>
  </r>
  <r>
    <m/>
    <m/>
    <x v="7"/>
    <m/>
    <m/>
    <s v="Placeholder"/>
  </r>
  <r>
    <m/>
    <m/>
    <x v="8"/>
    <m/>
    <m/>
    <s v="Placeholder"/>
  </r>
  <r>
    <m/>
    <m/>
    <x v="9"/>
    <m/>
    <m/>
    <s v="Placeholder"/>
  </r>
  <r>
    <m/>
    <m/>
    <x v="10"/>
    <m/>
    <m/>
    <s v="Placeholder"/>
  </r>
  <r>
    <m/>
    <m/>
    <x v="11"/>
    <m/>
    <m/>
    <s v="Placeholder"/>
  </r>
  <r>
    <m/>
    <m/>
    <x v="12"/>
    <m/>
    <m/>
    <s v="Placeholder"/>
  </r>
  <r>
    <m/>
    <m/>
    <x v="13"/>
    <m/>
    <m/>
    <s v="Placeholder"/>
  </r>
  <r>
    <m/>
    <m/>
    <x v="14"/>
    <m/>
    <m/>
    <s v="Placeholder"/>
  </r>
  <r>
    <m/>
    <m/>
    <x v="15"/>
    <m/>
    <m/>
    <s v="Placeholder"/>
  </r>
  <r>
    <m/>
    <m/>
    <x v="16"/>
    <m/>
    <m/>
    <s v="Placeholder"/>
  </r>
  <r>
    <m/>
    <m/>
    <x v="17"/>
    <m/>
    <m/>
    <s v="Placeholder"/>
  </r>
  <r>
    <n v="72001"/>
    <d v="2015-07-01T00:00:00"/>
    <x v="0"/>
    <n v="47822.83"/>
    <s v="Roll Over"/>
    <m/>
  </r>
  <r>
    <n v="50000"/>
    <d v="2015-07-31T00:00:00"/>
    <x v="2"/>
    <n v="13.08"/>
    <s v="Interest Income"/>
    <s v="July 2015 Income"/>
  </r>
  <r>
    <n v="71011"/>
    <d v="2015-07-10T00:00:00"/>
    <x v="13"/>
    <n v="-11.45"/>
    <s v="Visa Web Card"/>
    <s v="Moneris Acc't Minimum Fee"/>
  </r>
  <r>
    <n v="72001"/>
    <d v="2015-08-31T00:00:00"/>
    <x v="1"/>
    <n v="73500"/>
    <s v="MBAA"/>
    <s v="MBA Student Fees"/>
  </r>
  <r>
    <n v="72001"/>
    <d v="2015-08-31T00:00:00"/>
    <x v="1"/>
    <n v="5000"/>
    <s v="MBAA"/>
    <s v="MSM Student Fees"/>
  </r>
  <r>
    <n v="72001"/>
    <d v="2015-08-31T00:00:00"/>
    <x v="1"/>
    <n v="9400"/>
    <s v="MBAA"/>
    <s v="MSA Student Fees"/>
  </r>
  <r>
    <n v="81072"/>
    <d v="2015-08-31T00:00:00"/>
    <x v="2"/>
    <n v="14.98"/>
    <s v="Interest Income"/>
    <s v="August 2015 Income"/>
  </r>
  <r>
    <n v="71011"/>
    <d v="2015-08-05T00:00:00"/>
    <x v="13"/>
    <n v="-11.45"/>
    <s v="Visa Web Card"/>
    <s v="Moneris Acc't Minimum Fee"/>
  </r>
  <r>
    <n v="72450"/>
    <d v="2015-08-28T00:00:00"/>
    <x v="13"/>
    <n v="-25.5"/>
    <s v="TouchNet Dept"/>
    <s v="ND Vending "/>
  </r>
  <r>
    <n v="81072"/>
    <d v="2015-07-24T00:00:00"/>
    <x v="15"/>
    <n v="74.150000000000006"/>
    <s v="Notre Dame"/>
    <s v="ND Day 2015 Challenge Funds"/>
  </r>
  <r>
    <n v="55000"/>
    <d v="2015-09-30T00:00:00"/>
    <x v="2"/>
    <n v="14.78"/>
    <s v="Interest Income"/>
    <s v="September 2015 Income"/>
  </r>
  <r>
    <n v="58001"/>
    <d v="2015-09-04T00:00:00"/>
    <x v="13"/>
    <n v="0.01"/>
    <s v="Visa Web Card"/>
    <s v="Moneris Income"/>
  </r>
  <r>
    <n v="58001"/>
    <d v="2015-09-09T00:00:00"/>
    <x v="13"/>
    <n v="46.1"/>
    <s v="Visa Web Card"/>
    <s v="Moneris Income"/>
  </r>
  <r>
    <n v="58001"/>
    <d v="2015-09-23T00:00:00"/>
    <x v="13"/>
    <n v="79.5"/>
    <s v="Visa Web Card"/>
    <s v="Moneris Income"/>
  </r>
  <r>
    <n v="58001"/>
    <d v="2015-09-30T00:00:00"/>
    <x v="13"/>
    <n v="85"/>
    <s v="Visa Web Card"/>
    <s v="Moneris Income"/>
  </r>
  <r>
    <n v="71011"/>
    <d v="2015-09-04T00:00:00"/>
    <x v="13"/>
    <n v="-11.45"/>
    <s v="Visa Web Card"/>
    <s v="Moneris Acc't Minimum Fee"/>
  </r>
  <r>
    <n v="72251"/>
    <d v="2015-09-30T00:00:00"/>
    <x v="9"/>
    <n v="-110.46"/>
    <s v="Thomas Callen"/>
    <s v="Leadership Lunch &amp; Plaque"/>
  </r>
  <r>
    <n v="72450"/>
    <d v="2015-09-17T00:00:00"/>
    <x v="3"/>
    <n v="-288.89999999999998"/>
    <s v="Chris Hartlage"/>
    <s v="Texas Tailgate"/>
  </r>
  <r>
    <n v="72450"/>
    <d v="2015-09-20T00:00:00"/>
    <x v="3"/>
    <n v="-332.03"/>
    <s v="Chris Hartlage"/>
    <s v="Texas Tailgate "/>
  </r>
  <r>
    <n v="72450"/>
    <d v="2015-09-28T00:00:00"/>
    <x v="13"/>
    <n v="-25.5"/>
    <s v="TouchNet Dept"/>
    <s v="ND Vending "/>
  </r>
  <r>
    <n v="72450"/>
    <d v="2015-09-30T00:00:00"/>
    <x v="3"/>
    <n v="-114.98"/>
    <s v="Thomas Callen"/>
    <s v="Tailgate Equipment"/>
  </r>
  <r>
    <n v="72450"/>
    <d v="2015-09-30T00:00:00"/>
    <x v="3"/>
    <n v="-143.85"/>
    <s v="Pence Wiant"/>
    <s v="Umass Tailgate"/>
  </r>
  <r>
    <n v="72450"/>
    <d v="2015-09-15T00:00:00"/>
    <x v="3"/>
    <n v="-1725.38"/>
    <s v="Jaworski Meat"/>
    <s v="Texas Tailgate - Hog Roast"/>
  </r>
  <r>
    <n v="72454"/>
    <d v="2015-09-16T00:00:00"/>
    <x v="3"/>
    <n v="-76.5"/>
    <s v="Thomas Callen"/>
    <s v="Tailgate - Food/Water"/>
  </r>
  <r>
    <n v="72454"/>
    <d v="2015-09-16T00:00:00"/>
    <x v="3"/>
    <n v="-34.93"/>
    <s v="Thomas Callen"/>
    <s v="Tailgate - Ice"/>
  </r>
  <r>
    <n v="72454"/>
    <d v="2015-09-28T00:00:00"/>
    <x v="3"/>
    <n v="-847"/>
    <s v="Chick-fil-A"/>
    <s v="GA Tech Tailgate "/>
  </r>
  <r>
    <n v="72454"/>
    <d v="2015-09-30T00:00:00"/>
    <x v="3"/>
    <n v="-33.53"/>
    <s v="Thomas Callen"/>
    <s v="GA Tech Tailgate - Ice"/>
  </r>
  <r>
    <n v="72454"/>
    <d v="2015-09-30T00:00:00"/>
    <x v="9"/>
    <n v="-123.03"/>
    <s v="Thomas Callen"/>
    <s v="Leadership Lunch &amp; Plaque"/>
  </r>
  <r>
    <n v="77060"/>
    <d v="2015-09-30T00:00:00"/>
    <x v="9"/>
    <n v="-97"/>
    <s v="Legends"/>
    <s v="Leadership Lunch"/>
  </r>
  <r>
    <n v="77060"/>
    <d v="2015-09-30T00:00:00"/>
    <x v="9"/>
    <n v="-49.35"/>
    <s v="Legends"/>
    <s v="Leadership Lunch"/>
  </r>
  <r>
    <n v="72001"/>
    <d v="2015-10-09T00:00:00"/>
    <x v="17"/>
    <n v="-14400"/>
    <s v="MSA, MSM Fees"/>
    <s v="Transfer - Student Assoc Fees"/>
  </r>
  <r>
    <n v="71011"/>
    <d v="2015-10-07T00:00:00"/>
    <x v="13"/>
    <n v="-17.7"/>
    <s v="Visa Web Card"/>
    <s v="Moneris Fee"/>
  </r>
  <r>
    <n v="72454"/>
    <d v="2015-10-14T00:00:00"/>
    <x v="3"/>
    <n v="-839"/>
    <s v="Chick-fil-A"/>
    <s v="Umass Tailgate"/>
  </r>
  <r>
    <n v="72592"/>
    <d v="2015-10-09T00:00:00"/>
    <x v="7"/>
    <n v="-387"/>
    <s v="Ben Walker"/>
    <s v="FLC Thistleberry Farms"/>
  </r>
  <r>
    <n v="72001"/>
    <d v="2015-09-10T00:00:00"/>
    <x v="1"/>
    <n v="-250"/>
    <s v="MBAA"/>
    <s v="MBA Student Fees"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  <r>
    <m/>
    <m/>
    <x v="1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2:B22" firstHeaderRow="1" firstDataRow="1" firstDataCol="1"/>
  <pivotFields count="6">
    <pivotField showAll="0"/>
    <pivotField showAll="0"/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dataField="1" showAll="0"/>
    <pivotField showAll="0"/>
    <pivotField showAll="0"/>
  </pivotFields>
  <rowFields count="1">
    <field x="2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Sum of Debit - /Credit +" fld="3" baseField="0" baseItem="0" numFmtId="44"/>
  </dataFields>
  <formats count="2">
    <format dxfId="3">
      <pivotArea outline="0" collapsedLevelsAreSubtotals="1" fieldPosition="0"/>
    </format>
    <format dxfId="2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2:F1048576" totalsRowShown="0">
  <autoFilter ref="A2:F1048576"/>
  <tableColumns count="6">
    <tableColumn id="1" name="Account Code"/>
    <tableColumn id="2" name="Transaction Date" dataDxfId="1"/>
    <tableColumn id="3" name="Category"/>
    <tableColumn id="4" name="Debit - /Credit +" dataCellStyle="Currency"/>
    <tableColumn id="7" name="Recipient" dataDxfId="0" dataCellStyle="Currency"/>
    <tableColumn id="6" name="Description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F50" totalsRowShown="0">
  <autoFilter ref="A1:F50"/>
  <tableColumns count="6">
    <tableColumn id="1" name="Expected Date"/>
    <tableColumn id="2" name="Proj Amount"/>
    <tableColumn id="7" name="Column2"/>
    <tableColumn id="3" name="Event"/>
    <tableColumn id="4" name="Contact/Group"/>
    <tableColumn id="5" name="Comments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11"/>
  <sheetViews>
    <sheetView topLeftCell="A55" zoomScale="80" zoomScaleNormal="80" zoomScalePageLayoutView="90" workbookViewId="0">
      <selection activeCell="J68" sqref="J68"/>
    </sheetView>
  </sheetViews>
  <sheetFormatPr defaultColWidth="8.75" defaultRowHeight="12.75" x14ac:dyDescent="0.2"/>
  <cols>
    <col min="1" max="1" width="5.125" customWidth="1"/>
    <col min="2" max="2" width="66.875" customWidth="1"/>
    <col min="3" max="3" width="11.875" customWidth="1"/>
    <col min="4" max="4" width="14.875" customWidth="1"/>
    <col min="5" max="5" width="21.5" customWidth="1"/>
    <col min="6" max="6" width="17.25" customWidth="1"/>
    <col min="7" max="9" width="9" hidden="1" customWidth="1"/>
    <col min="10" max="10" width="16" customWidth="1"/>
    <col min="11" max="11" width="5.875" hidden="1" customWidth="1"/>
    <col min="12" max="12" width="3.875" hidden="1" customWidth="1"/>
    <col min="13" max="13" width="5.875" hidden="1" customWidth="1"/>
    <col min="15" max="15" width="11.5" bestFit="1" customWidth="1"/>
    <col min="17" max="17" width="11.5" bestFit="1" customWidth="1"/>
    <col min="18" max="18" width="12.125" bestFit="1" customWidth="1"/>
    <col min="19" max="19" width="18.5" bestFit="1" customWidth="1"/>
  </cols>
  <sheetData>
    <row r="1" spans="2:13" x14ac:dyDescent="0.2">
      <c r="J1" s="1"/>
    </row>
    <row r="2" spans="2:13" ht="18" x14ac:dyDescent="0.25">
      <c r="B2" s="2" t="s">
        <v>133</v>
      </c>
      <c r="C2" s="2"/>
      <c r="D2" s="3"/>
      <c r="E2" s="3"/>
      <c r="F2" s="3"/>
      <c r="J2" s="1"/>
    </row>
    <row r="3" spans="2:13" ht="11.25" customHeight="1" x14ac:dyDescent="0.25">
      <c r="B3" s="2"/>
      <c r="C3" s="2"/>
      <c r="D3" s="3"/>
      <c r="E3" s="3"/>
      <c r="F3" s="3"/>
      <c r="J3" s="1"/>
    </row>
    <row r="4" spans="2:13" ht="25.5" x14ac:dyDescent="0.2">
      <c r="B4" s="4"/>
      <c r="C4" s="5"/>
      <c r="D4" s="5"/>
      <c r="E4" s="5"/>
      <c r="F4" s="6" t="s">
        <v>132</v>
      </c>
      <c r="J4" s="6" t="s">
        <v>135</v>
      </c>
    </row>
    <row r="5" spans="2:13" x14ac:dyDescent="0.2">
      <c r="B5" s="88" t="s">
        <v>0</v>
      </c>
      <c r="C5" s="88"/>
      <c r="D5" s="88"/>
      <c r="E5" s="88"/>
      <c r="F5" s="41">
        <v>47822.83</v>
      </c>
      <c r="J5" s="9">
        <v>32527.25</v>
      </c>
    </row>
    <row r="6" spans="2:13" x14ac:dyDescent="0.2">
      <c r="B6" s="15" t="s">
        <v>134</v>
      </c>
      <c r="C6" s="15"/>
      <c r="D6" s="15"/>
      <c r="E6" s="15"/>
      <c r="F6" s="41">
        <v>73500</v>
      </c>
      <c r="J6" s="9">
        <v>79250</v>
      </c>
    </row>
    <row r="7" spans="2:13" x14ac:dyDescent="0.2">
      <c r="B7" s="10" t="s">
        <v>1</v>
      </c>
      <c r="C7" s="10"/>
      <c r="D7" s="10"/>
      <c r="E7" s="10"/>
      <c r="F7" s="8">
        <v>100</v>
      </c>
      <c r="J7" s="9">
        <v>100</v>
      </c>
    </row>
    <row r="8" spans="2:13" x14ac:dyDescent="0.2">
      <c r="B8" s="11" t="s">
        <v>2</v>
      </c>
      <c r="C8" s="11"/>
      <c r="D8" s="11"/>
      <c r="E8" s="11"/>
      <c r="F8" s="12">
        <f>SUM(F5:F7)</f>
        <v>121422.83</v>
      </c>
      <c r="J8" s="13">
        <f>SUM(J5:J7)</f>
        <v>111877.25</v>
      </c>
    </row>
    <row r="9" spans="2:13" x14ac:dyDescent="0.2">
      <c r="F9" s="14"/>
      <c r="J9" s="14"/>
    </row>
    <row r="10" spans="2:13" x14ac:dyDescent="0.2">
      <c r="B10" s="49" t="s">
        <v>3</v>
      </c>
      <c r="C10" s="49"/>
      <c r="D10" s="49"/>
      <c r="E10" s="49"/>
      <c r="F10" s="49"/>
      <c r="G10" s="7"/>
      <c r="H10" s="7"/>
      <c r="I10" s="7"/>
      <c r="J10" s="49"/>
    </row>
    <row r="11" spans="2:13" x14ac:dyDescent="0.2">
      <c r="B11" s="15" t="s">
        <v>27</v>
      </c>
      <c r="C11" s="15" t="s">
        <v>26</v>
      </c>
      <c r="D11" s="41">
        <v>200</v>
      </c>
      <c r="E11" s="15">
        <v>1</v>
      </c>
      <c r="F11" s="41">
        <f>D11*E11</f>
        <v>200</v>
      </c>
      <c r="G11" s="7">
        <f>IF(C11="Normal",F11,0)</f>
        <v>0</v>
      </c>
      <c r="H11" s="7">
        <f>IF(C11="Surplus",F11,0)</f>
        <v>0</v>
      </c>
      <c r="I11" s="10">
        <f>IF(B11="Total",F11,0)</f>
        <v>0</v>
      </c>
      <c r="J11" s="9"/>
      <c r="K11">
        <f>IF(C11="Normal",J11,0)</f>
        <v>0</v>
      </c>
      <c r="L11">
        <f>IF(C11="Surplus",J11,0)</f>
        <v>0</v>
      </c>
      <c r="M11" s="16">
        <f>IF(B11="Total",J11,0)</f>
        <v>0</v>
      </c>
    </row>
    <row r="12" spans="2:13" x14ac:dyDescent="0.2">
      <c r="B12" s="15" t="s">
        <v>27</v>
      </c>
      <c r="C12" s="15" t="s">
        <v>28</v>
      </c>
      <c r="D12" s="41">
        <v>200</v>
      </c>
      <c r="E12" s="15">
        <v>1</v>
      </c>
      <c r="F12" s="41">
        <f t="shared" ref="F12:F14" si="0">D12*E12</f>
        <v>200</v>
      </c>
      <c r="G12" s="7">
        <f t="shared" ref="G12:G74" si="1">IF(C12="Normal",F12,0)</f>
        <v>0</v>
      </c>
      <c r="H12" s="7">
        <f t="shared" ref="H12:H74" si="2">IF(C12="Surplus",F12,0)</f>
        <v>0</v>
      </c>
      <c r="I12" s="10">
        <f>IF(B12="Total",F12,0)</f>
        <v>0</v>
      </c>
      <c r="J12" s="9"/>
      <c r="K12">
        <f t="shared" ref="K12" si="3">IF(C12="Normal",J12,0)</f>
        <v>0</v>
      </c>
      <c r="L12">
        <f t="shared" ref="L12" si="4">IF(C12="Surplus",J12,0)</f>
        <v>0</v>
      </c>
      <c r="M12" s="16">
        <f t="shared" ref="M12" si="5">IF(B12="Total",J12,0)</f>
        <v>0</v>
      </c>
    </row>
    <row r="13" spans="2:13" x14ac:dyDescent="0.2">
      <c r="B13" s="15" t="s">
        <v>27</v>
      </c>
      <c r="C13" s="15" t="s">
        <v>28</v>
      </c>
      <c r="D13" s="41">
        <v>200</v>
      </c>
      <c r="E13" s="15">
        <v>1</v>
      </c>
      <c r="F13" s="41">
        <f t="shared" si="0"/>
        <v>200</v>
      </c>
      <c r="G13" s="7">
        <f t="shared" si="1"/>
        <v>0</v>
      </c>
      <c r="H13" s="7">
        <f t="shared" si="2"/>
        <v>0</v>
      </c>
      <c r="I13" s="10">
        <f>IF(B13="Total",F13,0)</f>
        <v>0</v>
      </c>
      <c r="J13" s="64"/>
      <c r="K13">
        <f>IF(C13="Normal",J14,0)</f>
        <v>0</v>
      </c>
      <c r="L13">
        <f>IF(C13="Surplus",J14,0)</f>
        <v>0</v>
      </c>
      <c r="M13" s="16">
        <f>IF(B13="Total",J14,0)</f>
        <v>0</v>
      </c>
    </row>
    <row r="14" spans="2:13" x14ac:dyDescent="0.2">
      <c r="B14" s="15" t="s">
        <v>27</v>
      </c>
      <c r="C14" s="15" t="s">
        <v>32</v>
      </c>
      <c r="D14" s="41">
        <v>200</v>
      </c>
      <c r="E14" s="15">
        <v>1</v>
      </c>
      <c r="F14" s="41">
        <f t="shared" si="0"/>
        <v>200</v>
      </c>
      <c r="G14" s="7">
        <f t="shared" si="1"/>
        <v>0</v>
      </c>
      <c r="H14" s="7">
        <f t="shared" si="2"/>
        <v>0</v>
      </c>
      <c r="I14" s="10">
        <f>IF(B14="Total",F14,0)</f>
        <v>0</v>
      </c>
      <c r="J14" s="9"/>
      <c r="K14">
        <f>IF(C14="Normal",J15,0)</f>
        <v>0</v>
      </c>
      <c r="L14">
        <f>IF(C14="Surplus",J15,0)</f>
        <v>0</v>
      </c>
      <c r="M14" s="16">
        <f>IF(B14="Total",J15,0)</f>
        <v>0</v>
      </c>
    </row>
    <row r="15" spans="2:13" x14ac:dyDescent="0.2">
      <c r="B15" s="17" t="s">
        <v>4</v>
      </c>
      <c r="C15" s="17"/>
      <c r="D15" s="17"/>
      <c r="E15" s="17"/>
      <c r="F15" s="18">
        <f>SUM(F11:F14)</f>
        <v>800</v>
      </c>
      <c r="G15" s="7">
        <f t="shared" si="1"/>
        <v>0</v>
      </c>
      <c r="H15" s="7">
        <f t="shared" si="2"/>
        <v>0</v>
      </c>
      <c r="I15" s="10">
        <f t="shared" ref="I15:I76" si="6">IF(B15="Total",F15,0)</f>
        <v>800</v>
      </c>
      <c r="J15" s="13">
        <v>2000</v>
      </c>
      <c r="K15">
        <f>IF(C15="Normal",J16,0)</f>
        <v>0</v>
      </c>
      <c r="L15">
        <f>IF(C15="Surplus",J16,0)</f>
        <v>0</v>
      </c>
      <c r="M15" s="16">
        <f>IF(B15="Total",J16,0)</f>
        <v>0</v>
      </c>
    </row>
    <row r="16" spans="2:13" x14ac:dyDescent="0.2">
      <c r="B16" s="49" t="s">
        <v>5</v>
      </c>
      <c r="C16" s="49"/>
      <c r="D16" s="49"/>
      <c r="E16" s="49"/>
      <c r="F16" s="49"/>
      <c r="G16" s="7">
        <f t="shared" si="1"/>
        <v>0</v>
      </c>
      <c r="H16" s="7">
        <f t="shared" si="2"/>
        <v>0</v>
      </c>
      <c r="I16" s="10">
        <f t="shared" si="6"/>
        <v>0</v>
      </c>
      <c r="J16" s="49"/>
      <c r="K16">
        <f>IF(C16="Normal",J17,0)</f>
        <v>0</v>
      </c>
      <c r="L16">
        <f>IF(C16="Surplus",J17,0)</f>
        <v>0</v>
      </c>
      <c r="M16" s="16">
        <f>IF(B16="Total",J17,0)</f>
        <v>0</v>
      </c>
    </row>
    <row r="17" spans="2:13" x14ac:dyDescent="0.2">
      <c r="B17" s="15" t="s">
        <v>39</v>
      </c>
      <c r="C17" s="15" t="s">
        <v>26</v>
      </c>
      <c r="D17" s="8">
        <v>200</v>
      </c>
      <c r="E17" s="15">
        <v>1</v>
      </c>
      <c r="F17" s="8">
        <f>D17*E17</f>
        <v>200</v>
      </c>
      <c r="G17" s="7">
        <f t="shared" si="1"/>
        <v>0</v>
      </c>
      <c r="H17" s="7">
        <f t="shared" si="2"/>
        <v>0</v>
      </c>
      <c r="I17" s="10">
        <f t="shared" si="6"/>
        <v>0</v>
      </c>
      <c r="J17" s="9"/>
      <c r="K17">
        <f>IF(C17="Normal",J21,0)</f>
        <v>0</v>
      </c>
      <c r="L17">
        <f>IF(C17="Surplus",J21,0)</f>
        <v>0</v>
      </c>
      <c r="M17" s="16">
        <f>IF(B17="Total",J21,0)</f>
        <v>0</v>
      </c>
    </row>
    <row r="18" spans="2:13" x14ac:dyDescent="0.2">
      <c r="B18" s="15" t="s">
        <v>39</v>
      </c>
      <c r="C18" s="15" t="s">
        <v>28</v>
      </c>
      <c r="D18" s="8">
        <v>200</v>
      </c>
      <c r="E18" s="15">
        <v>1</v>
      </c>
      <c r="F18" s="8">
        <f>D18*E18</f>
        <v>200</v>
      </c>
      <c r="G18" s="7">
        <f t="shared" si="1"/>
        <v>0</v>
      </c>
      <c r="H18" s="7">
        <f t="shared" si="2"/>
        <v>0</v>
      </c>
      <c r="I18" s="10">
        <f t="shared" si="6"/>
        <v>0</v>
      </c>
      <c r="J18" s="9"/>
      <c r="K18">
        <f>IF(C18="Normal",J22,0)</f>
        <v>0</v>
      </c>
      <c r="L18">
        <f>IF(C18="Surplus",J22,0)</f>
        <v>0</v>
      </c>
      <c r="M18" s="16">
        <f>IF(B18="Total",J22,0)</f>
        <v>0</v>
      </c>
    </row>
    <row r="19" spans="2:13" x14ac:dyDescent="0.2">
      <c r="B19" s="15" t="s">
        <v>39</v>
      </c>
      <c r="C19" s="15" t="s">
        <v>30</v>
      </c>
      <c r="D19" s="8">
        <v>200</v>
      </c>
      <c r="E19" s="15">
        <v>1</v>
      </c>
      <c r="F19" s="8">
        <f t="shared" ref="F19:F20" si="7">D19*E19</f>
        <v>200</v>
      </c>
      <c r="G19" s="7">
        <f t="shared" si="1"/>
        <v>0</v>
      </c>
      <c r="H19" s="7">
        <f t="shared" si="2"/>
        <v>0</v>
      </c>
      <c r="I19" s="10">
        <f>IF(B20="Total",F19,0)</f>
        <v>0</v>
      </c>
      <c r="J19" s="9"/>
      <c r="K19">
        <f>IF(C19="Normal",J20,0)</f>
        <v>0</v>
      </c>
      <c r="L19">
        <f>IF(C19="Surplus",J20,0)</f>
        <v>0</v>
      </c>
      <c r="M19" s="16">
        <f>IF(B20="Total",J20,0)</f>
        <v>0</v>
      </c>
    </row>
    <row r="20" spans="2:13" x14ac:dyDescent="0.2">
      <c r="B20" s="15" t="s">
        <v>39</v>
      </c>
      <c r="C20" s="15" t="s">
        <v>32</v>
      </c>
      <c r="D20" s="8">
        <v>200</v>
      </c>
      <c r="E20" s="15">
        <v>1</v>
      </c>
      <c r="F20" s="8">
        <f t="shared" si="7"/>
        <v>200</v>
      </c>
      <c r="G20" s="7">
        <f>IF(C20="Normal",F20,0)</f>
        <v>0</v>
      </c>
      <c r="H20" s="7">
        <f>IF(C20="Surplus",F20,0)</f>
        <v>0</v>
      </c>
      <c r="I20" s="10" t="e">
        <f>IF(#REF!="Total",F20,0)</f>
        <v>#REF!</v>
      </c>
      <c r="J20" s="9"/>
      <c r="K20">
        <f>IF(C20="Normal",#REF!,0)</f>
        <v>0</v>
      </c>
      <c r="L20">
        <f>IF(C20="Surplus",#REF!,0)</f>
        <v>0</v>
      </c>
      <c r="M20" s="16" t="e">
        <f>IF(#REF!="Total",#REF!,0)</f>
        <v>#REF!</v>
      </c>
    </row>
    <row r="21" spans="2:13" x14ac:dyDescent="0.2">
      <c r="B21" s="17" t="s">
        <v>4</v>
      </c>
      <c r="C21" s="17"/>
      <c r="D21" s="17"/>
      <c r="E21" s="17"/>
      <c r="F21" s="18">
        <f>SUM(F17:F20)</f>
        <v>800</v>
      </c>
      <c r="G21" s="7">
        <f t="shared" si="1"/>
        <v>0</v>
      </c>
      <c r="H21" s="7">
        <f t="shared" si="2"/>
        <v>0</v>
      </c>
      <c r="I21" s="10">
        <f t="shared" si="6"/>
        <v>800</v>
      </c>
      <c r="J21" s="13">
        <v>1500</v>
      </c>
      <c r="K21">
        <f>IF(C21="Normal",#REF!,0)</f>
        <v>0</v>
      </c>
      <c r="L21">
        <f>IF(C21="Surplus",#REF!,0)</f>
        <v>0</v>
      </c>
      <c r="M21" s="16" t="e">
        <f>IF(B21="Total",#REF!,0)</f>
        <v>#REF!</v>
      </c>
    </row>
    <row r="22" spans="2:13" x14ac:dyDescent="0.2">
      <c r="B22" s="49" t="s">
        <v>6</v>
      </c>
      <c r="C22" s="49"/>
      <c r="D22" s="49"/>
      <c r="E22" s="49"/>
      <c r="F22" s="49"/>
      <c r="G22" s="7">
        <f t="shared" si="1"/>
        <v>0</v>
      </c>
      <c r="H22" s="7">
        <f t="shared" si="2"/>
        <v>0</v>
      </c>
      <c r="I22" s="10">
        <f t="shared" si="6"/>
        <v>0</v>
      </c>
      <c r="J22" s="49"/>
      <c r="K22">
        <f>IF(C22="Normal",J25,0)</f>
        <v>0</v>
      </c>
      <c r="L22">
        <f>IF(C22="Surplus",J25,0)</f>
        <v>0</v>
      </c>
      <c r="M22" s="16">
        <f>IF(B22="Total",J25,0)</f>
        <v>0</v>
      </c>
    </row>
    <row r="23" spans="2:13" x14ac:dyDescent="0.2">
      <c r="B23" s="15" t="s">
        <v>7</v>
      </c>
      <c r="C23" s="15" t="s">
        <v>30</v>
      </c>
      <c r="D23" s="8">
        <v>2000</v>
      </c>
      <c r="E23" s="15">
        <v>1</v>
      </c>
      <c r="F23" s="8">
        <f>D23*E23</f>
        <v>2000</v>
      </c>
      <c r="G23" s="7">
        <f t="shared" si="1"/>
        <v>0</v>
      </c>
      <c r="H23" s="7">
        <f t="shared" si="2"/>
        <v>0</v>
      </c>
      <c r="I23" s="10">
        <f t="shared" si="6"/>
        <v>0</v>
      </c>
      <c r="J23" s="9"/>
      <c r="K23">
        <f>IF(C23="Normal",J26,0)</f>
        <v>0</v>
      </c>
      <c r="L23">
        <f>IF(C23="Surplus",J26,0)</f>
        <v>0</v>
      </c>
      <c r="M23" s="16">
        <f>IF(B23="Total",J26,0)</f>
        <v>0</v>
      </c>
    </row>
    <row r="24" spans="2:13" x14ac:dyDescent="0.2">
      <c r="B24" s="15" t="s">
        <v>31</v>
      </c>
      <c r="C24" s="15" t="s">
        <v>32</v>
      </c>
      <c r="D24" s="8">
        <v>1500</v>
      </c>
      <c r="E24" s="15">
        <v>1</v>
      </c>
      <c r="F24" s="8">
        <f>D24*E24</f>
        <v>1500</v>
      </c>
      <c r="G24" s="7">
        <f t="shared" si="1"/>
        <v>0</v>
      </c>
      <c r="H24" s="7">
        <f t="shared" si="2"/>
        <v>0</v>
      </c>
      <c r="I24" s="15">
        <f t="shared" si="6"/>
        <v>0</v>
      </c>
      <c r="J24" s="9"/>
      <c r="M24" s="16"/>
    </row>
    <row r="25" spans="2:13" x14ac:dyDescent="0.2">
      <c r="B25" s="17" t="s">
        <v>4</v>
      </c>
      <c r="C25" s="17"/>
      <c r="D25" s="8"/>
      <c r="E25" s="17"/>
      <c r="F25" s="40">
        <f>SUM(F23:F24)</f>
        <v>3500</v>
      </c>
      <c r="G25" s="7">
        <f t="shared" si="1"/>
        <v>0</v>
      </c>
      <c r="H25" s="7">
        <f t="shared" si="2"/>
        <v>0</v>
      </c>
      <c r="I25" s="15">
        <f t="shared" si="6"/>
        <v>3500</v>
      </c>
      <c r="J25" s="19">
        <v>4500</v>
      </c>
      <c r="M25" s="16"/>
    </row>
    <row r="26" spans="2:13" x14ac:dyDescent="0.2">
      <c r="B26" s="49" t="s">
        <v>8</v>
      </c>
      <c r="C26" s="49"/>
      <c r="D26" s="49"/>
      <c r="E26" s="49"/>
      <c r="F26" s="49"/>
      <c r="G26" s="7">
        <f t="shared" si="1"/>
        <v>0</v>
      </c>
      <c r="H26" s="7">
        <f t="shared" si="2"/>
        <v>0</v>
      </c>
      <c r="I26" s="15">
        <f t="shared" si="6"/>
        <v>0</v>
      </c>
      <c r="J26" s="49"/>
      <c r="M26" s="16"/>
    </row>
    <row r="27" spans="2:13" x14ac:dyDescent="0.2">
      <c r="B27" s="50" t="s">
        <v>49</v>
      </c>
      <c r="C27" s="10" t="s">
        <v>26</v>
      </c>
      <c r="D27" s="20">
        <v>600</v>
      </c>
      <c r="E27" s="43">
        <v>1</v>
      </c>
      <c r="F27" s="8">
        <f t="shared" ref="F27:F39" si="8">D27*E27</f>
        <v>600</v>
      </c>
      <c r="G27" s="7">
        <f t="shared" si="1"/>
        <v>0</v>
      </c>
      <c r="H27" s="7">
        <f t="shared" si="2"/>
        <v>0</v>
      </c>
      <c r="I27" s="15">
        <f t="shared" si="6"/>
        <v>0</v>
      </c>
      <c r="J27" s="9"/>
      <c r="M27" s="16"/>
    </row>
    <row r="28" spans="2:13" x14ac:dyDescent="0.2">
      <c r="B28" s="50" t="s">
        <v>50</v>
      </c>
      <c r="C28" s="10" t="s">
        <v>26</v>
      </c>
      <c r="D28" s="20">
        <v>500</v>
      </c>
      <c r="E28" s="43">
        <v>1</v>
      </c>
      <c r="F28" s="8">
        <f t="shared" si="8"/>
        <v>500</v>
      </c>
      <c r="G28" s="7">
        <f t="shared" si="1"/>
        <v>0</v>
      </c>
      <c r="H28" s="7">
        <f t="shared" si="2"/>
        <v>0</v>
      </c>
      <c r="I28" s="15">
        <f t="shared" si="6"/>
        <v>0</v>
      </c>
      <c r="J28" s="9"/>
      <c r="M28" s="16"/>
    </row>
    <row r="29" spans="2:13" x14ac:dyDescent="0.2">
      <c r="B29" s="50" t="s">
        <v>51</v>
      </c>
      <c r="C29" s="10" t="s">
        <v>26</v>
      </c>
      <c r="D29" s="20">
        <v>500</v>
      </c>
      <c r="E29" s="43">
        <v>1</v>
      </c>
      <c r="F29" s="8">
        <f t="shared" si="8"/>
        <v>500</v>
      </c>
      <c r="G29" s="7">
        <f t="shared" si="1"/>
        <v>0</v>
      </c>
      <c r="H29" s="7">
        <f t="shared" si="2"/>
        <v>0</v>
      </c>
      <c r="I29" s="15">
        <f t="shared" si="6"/>
        <v>0</v>
      </c>
      <c r="J29" s="9"/>
      <c r="M29" s="16"/>
    </row>
    <row r="30" spans="2:13" x14ac:dyDescent="0.2">
      <c r="B30" s="50" t="s">
        <v>65</v>
      </c>
      <c r="C30" s="10" t="s">
        <v>30</v>
      </c>
      <c r="D30" s="20">
        <v>500</v>
      </c>
      <c r="E30" s="43">
        <v>1</v>
      </c>
      <c r="F30" s="8">
        <f t="shared" si="8"/>
        <v>500</v>
      </c>
      <c r="G30" s="7">
        <f t="shared" si="1"/>
        <v>0</v>
      </c>
      <c r="H30" s="7">
        <f t="shared" si="2"/>
        <v>0</v>
      </c>
      <c r="I30" s="15">
        <f t="shared" si="6"/>
        <v>0</v>
      </c>
      <c r="J30" s="9"/>
      <c r="M30" s="16"/>
    </row>
    <row r="31" spans="2:13" x14ac:dyDescent="0.2">
      <c r="B31" s="50" t="s">
        <v>126</v>
      </c>
      <c r="C31" s="10" t="s">
        <v>30</v>
      </c>
      <c r="D31" s="20">
        <v>600</v>
      </c>
      <c r="E31" s="43">
        <v>1</v>
      </c>
      <c r="F31" s="8">
        <f t="shared" si="8"/>
        <v>600</v>
      </c>
      <c r="G31" s="7">
        <f t="shared" si="1"/>
        <v>0</v>
      </c>
      <c r="H31" s="7">
        <f t="shared" si="2"/>
        <v>0</v>
      </c>
      <c r="I31" s="15">
        <f t="shared" si="6"/>
        <v>0</v>
      </c>
      <c r="J31" s="9"/>
      <c r="M31" s="16"/>
    </row>
    <row r="32" spans="2:13" x14ac:dyDescent="0.2">
      <c r="B32" s="50" t="s">
        <v>67</v>
      </c>
      <c r="C32" s="10" t="s">
        <v>32</v>
      </c>
      <c r="D32" s="20">
        <v>1650</v>
      </c>
      <c r="E32" s="44">
        <v>1</v>
      </c>
      <c r="F32" s="8">
        <f t="shared" si="8"/>
        <v>1650</v>
      </c>
      <c r="G32" s="7">
        <f t="shared" si="1"/>
        <v>0</v>
      </c>
      <c r="H32" s="7">
        <f t="shared" si="2"/>
        <v>0</v>
      </c>
      <c r="I32" s="15">
        <f t="shared" si="6"/>
        <v>0</v>
      </c>
      <c r="J32" s="9"/>
      <c r="M32" s="16"/>
    </row>
    <row r="33" spans="2:13" x14ac:dyDescent="0.2">
      <c r="B33" s="50" t="s">
        <v>68</v>
      </c>
      <c r="C33" s="10" t="s">
        <v>32</v>
      </c>
      <c r="D33" s="20">
        <v>1000</v>
      </c>
      <c r="E33" s="43">
        <v>1</v>
      </c>
      <c r="F33" s="8">
        <f t="shared" si="8"/>
        <v>1000</v>
      </c>
      <c r="G33" s="7">
        <f>IF(C33="Normal",F33,0)</f>
        <v>0</v>
      </c>
      <c r="H33" s="7">
        <f>IF(C33="Surplus",F33,0)</f>
        <v>0</v>
      </c>
      <c r="I33" s="10">
        <f>IF(B33="Total",F33,0)</f>
        <v>0</v>
      </c>
      <c r="J33" s="9"/>
      <c r="K33">
        <f>IF(C33="Normal",J34,0)</f>
        <v>0</v>
      </c>
      <c r="L33">
        <f>IF(C33="Surplus",J34,0)</f>
        <v>0</v>
      </c>
      <c r="M33" s="16">
        <f>IF(B33="Total",J34,0)</f>
        <v>0</v>
      </c>
    </row>
    <row r="34" spans="2:13" x14ac:dyDescent="0.2">
      <c r="B34" s="50" t="s">
        <v>9</v>
      </c>
      <c r="C34" s="10" t="s">
        <v>29</v>
      </c>
      <c r="D34" s="20">
        <v>300</v>
      </c>
      <c r="E34" s="43">
        <v>1</v>
      </c>
      <c r="F34" s="8">
        <f t="shared" si="8"/>
        <v>300</v>
      </c>
      <c r="G34" s="7">
        <f t="shared" si="1"/>
        <v>0</v>
      </c>
      <c r="H34" s="7">
        <f t="shared" si="2"/>
        <v>0</v>
      </c>
      <c r="I34" s="15">
        <f t="shared" si="6"/>
        <v>0</v>
      </c>
      <c r="J34" s="9"/>
      <c r="M34" s="16"/>
    </row>
    <row r="35" spans="2:13" x14ac:dyDescent="0.2">
      <c r="B35" s="50" t="s">
        <v>52</v>
      </c>
      <c r="C35" s="10" t="s">
        <v>29</v>
      </c>
      <c r="D35" s="20">
        <v>100</v>
      </c>
      <c r="E35" s="43">
        <v>1</v>
      </c>
      <c r="F35" s="8">
        <f t="shared" si="8"/>
        <v>100</v>
      </c>
      <c r="G35" s="7"/>
      <c r="H35" s="7"/>
      <c r="I35" s="15"/>
      <c r="J35" s="9"/>
      <c r="M35" s="16"/>
    </row>
    <row r="36" spans="2:13" x14ac:dyDescent="0.2">
      <c r="B36" s="50" t="s">
        <v>66</v>
      </c>
      <c r="C36" s="10" t="s">
        <v>29</v>
      </c>
      <c r="D36" s="20">
        <v>300</v>
      </c>
      <c r="E36" s="43">
        <v>1</v>
      </c>
      <c r="F36" s="8">
        <f t="shared" si="8"/>
        <v>300</v>
      </c>
      <c r="G36" s="7"/>
      <c r="H36" s="7"/>
      <c r="I36" s="15"/>
      <c r="J36" s="9"/>
      <c r="M36" s="16"/>
    </row>
    <row r="37" spans="2:13" x14ac:dyDescent="0.2">
      <c r="B37" s="50" t="s">
        <v>127</v>
      </c>
      <c r="C37" s="10" t="s">
        <v>28</v>
      </c>
      <c r="D37" s="20">
        <v>350</v>
      </c>
      <c r="E37" s="43">
        <v>1</v>
      </c>
      <c r="F37" s="8">
        <f t="shared" si="8"/>
        <v>350</v>
      </c>
      <c r="G37" s="7" t="e">
        <f>IF(#REF!="Normal",#REF!,0)</f>
        <v>#REF!</v>
      </c>
      <c r="H37" s="7" t="e">
        <f>IF(#REF!="Surplus",#REF!,0)</f>
        <v>#REF!</v>
      </c>
      <c r="I37" s="15" t="e">
        <f>IF(#REF!="Total",#REF!,0)</f>
        <v>#REF!</v>
      </c>
      <c r="J37" s="9"/>
      <c r="M37" s="16"/>
    </row>
    <row r="38" spans="2:13" x14ac:dyDescent="0.2">
      <c r="B38" s="50" t="s">
        <v>128</v>
      </c>
      <c r="C38" s="10" t="s">
        <v>30</v>
      </c>
      <c r="D38" s="20">
        <v>600</v>
      </c>
      <c r="E38" s="44">
        <v>1</v>
      </c>
      <c r="F38" s="8">
        <f t="shared" si="8"/>
        <v>600</v>
      </c>
      <c r="G38" s="7">
        <f t="shared" si="1"/>
        <v>0</v>
      </c>
      <c r="H38" s="7">
        <f t="shared" si="2"/>
        <v>0</v>
      </c>
      <c r="I38" s="10">
        <f t="shared" si="6"/>
        <v>0</v>
      </c>
      <c r="J38" s="64"/>
      <c r="K38">
        <f>IF(C38="Normal",J40,0)</f>
        <v>0</v>
      </c>
      <c r="L38">
        <f>IF(C38="Surplus",J40,0)</f>
        <v>0</v>
      </c>
      <c r="M38" s="16">
        <f>IF(B38="Total",J40,0)</f>
        <v>0</v>
      </c>
    </row>
    <row r="39" spans="2:13" x14ac:dyDescent="0.2">
      <c r="B39" s="50" t="s">
        <v>129</v>
      </c>
      <c r="C39" s="10" t="s">
        <v>32</v>
      </c>
      <c r="D39" s="20">
        <v>1000</v>
      </c>
      <c r="E39" s="43">
        <v>1</v>
      </c>
      <c r="F39" s="8">
        <f t="shared" si="8"/>
        <v>1000</v>
      </c>
      <c r="G39" s="7">
        <f t="shared" si="1"/>
        <v>0</v>
      </c>
      <c r="H39" s="7">
        <f t="shared" si="2"/>
        <v>0</v>
      </c>
      <c r="I39" s="10">
        <f t="shared" si="6"/>
        <v>0</v>
      </c>
      <c r="J39" s="9"/>
      <c r="K39">
        <f>IF(C39="Normal",J41,0)</f>
        <v>0</v>
      </c>
      <c r="L39">
        <f>IF(C39="Surplus",J41,0)</f>
        <v>0</v>
      </c>
      <c r="M39" s="16">
        <f>IF(B39="Total",J41,0)</f>
        <v>0</v>
      </c>
    </row>
    <row r="40" spans="2:13" x14ac:dyDescent="0.2">
      <c r="B40" s="17" t="s">
        <v>4</v>
      </c>
      <c r="C40" s="17"/>
      <c r="D40" s="17"/>
      <c r="E40" s="17"/>
      <c r="F40" s="18">
        <f>SUM(F27:F39)</f>
        <v>8000</v>
      </c>
      <c r="G40" s="7">
        <f t="shared" si="1"/>
        <v>0</v>
      </c>
      <c r="H40" s="7">
        <f t="shared" si="2"/>
        <v>0</v>
      </c>
      <c r="I40" s="10">
        <f t="shared" si="6"/>
        <v>8000</v>
      </c>
      <c r="J40" s="13">
        <v>8380</v>
      </c>
      <c r="K40">
        <f t="shared" ref="K40:K49" si="9">IF(C40="Normal",J43,0)</f>
        <v>0</v>
      </c>
      <c r="L40">
        <f t="shared" ref="L40:L49" si="10">IF(C40="Surplus",J43,0)</f>
        <v>0</v>
      </c>
      <c r="M40" s="16">
        <f t="shared" ref="M40:M49" si="11">IF(B40="Total",J43,0)</f>
        <v>0</v>
      </c>
    </row>
    <row r="41" spans="2:13" x14ac:dyDescent="0.2">
      <c r="B41" s="49" t="s">
        <v>10</v>
      </c>
      <c r="C41" s="49"/>
      <c r="D41" s="49"/>
      <c r="E41" s="49"/>
      <c r="F41" s="49"/>
      <c r="G41" s="7">
        <f t="shared" si="1"/>
        <v>0</v>
      </c>
      <c r="H41" s="7">
        <f t="shared" si="2"/>
        <v>0</v>
      </c>
      <c r="I41" s="10">
        <f t="shared" si="6"/>
        <v>0</v>
      </c>
      <c r="J41" s="49"/>
      <c r="K41">
        <f t="shared" si="9"/>
        <v>0</v>
      </c>
      <c r="L41">
        <f t="shared" si="10"/>
        <v>0</v>
      </c>
      <c r="M41" s="16">
        <f t="shared" si="11"/>
        <v>0</v>
      </c>
    </row>
    <row r="42" spans="2:13" x14ac:dyDescent="0.2">
      <c r="B42" s="15" t="s">
        <v>33</v>
      </c>
      <c r="C42" s="15" t="s">
        <v>26</v>
      </c>
      <c r="D42" s="8">
        <v>1750</v>
      </c>
      <c r="E42" s="15">
        <v>1</v>
      </c>
      <c r="F42" s="41">
        <v>1750</v>
      </c>
      <c r="G42" s="7">
        <f t="shared" si="1"/>
        <v>0</v>
      </c>
      <c r="H42" s="7">
        <f t="shared" si="2"/>
        <v>0</v>
      </c>
      <c r="I42" s="10">
        <f t="shared" si="6"/>
        <v>0</v>
      </c>
      <c r="J42" s="9"/>
      <c r="K42">
        <f t="shared" si="9"/>
        <v>0</v>
      </c>
      <c r="L42">
        <f t="shared" si="10"/>
        <v>0</v>
      </c>
      <c r="M42" s="16">
        <f t="shared" si="11"/>
        <v>0</v>
      </c>
    </row>
    <row r="43" spans="2:13" x14ac:dyDescent="0.2">
      <c r="B43" s="15" t="s">
        <v>34</v>
      </c>
      <c r="C43" s="15" t="s">
        <v>28</v>
      </c>
      <c r="D43" s="8">
        <v>150</v>
      </c>
      <c r="E43" s="15">
        <v>1</v>
      </c>
      <c r="F43" s="41">
        <f>E43*D43</f>
        <v>150</v>
      </c>
      <c r="G43" s="7">
        <f t="shared" si="1"/>
        <v>0</v>
      </c>
      <c r="H43" s="7">
        <f t="shared" si="2"/>
        <v>0</v>
      </c>
      <c r="I43" s="10">
        <f t="shared" si="6"/>
        <v>0</v>
      </c>
      <c r="J43" s="9"/>
      <c r="K43">
        <f t="shared" si="9"/>
        <v>0</v>
      </c>
      <c r="L43">
        <f t="shared" si="10"/>
        <v>0</v>
      </c>
      <c r="M43" s="16">
        <f t="shared" si="11"/>
        <v>0</v>
      </c>
    </row>
    <row r="44" spans="2:13" x14ac:dyDescent="0.2">
      <c r="B44" s="15" t="s">
        <v>34</v>
      </c>
      <c r="C44" s="15" t="s">
        <v>32</v>
      </c>
      <c r="D44" s="8">
        <v>150</v>
      </c>
      <c r="E44" s="15">
        <v>1</v>
      </c>
      <c r="F44" s="41">
        <f>E44*D44</f>
        <v>150</v>
      </c>
      <c r="G44" s="7">
        <f t="shared" si="1"/>
        <v>0</v>
      </c>
      <c r="H44" s="7">
        <f t="shared" si="2"/>
        <v>0</v>
      </c>
      <c r="I44" s="10">
        <f t="shared" si="6"/>
        <v>0</v>
      </c>
      <c r="J44" s="9"/>
      <c r="K44">
        <f t="shared" si="9"/>
        <v>0</v>
      </c>
      <c r="L44">
        <f t="shared" si="10"/>
        <v>0</v>
      </c>
      <c r="M44" s="16">
        <f t="shared" si="11"/>
        <v>0</v>
      </c>
    </row>
    <row r="45" spans="2:13" x14ac:dyDescent="0.2">
      <c r="B45" s="17" t="s">
        <v>4</v>
      </c>
      <c r="C45" s="17"/>
      <c r="D45" s="17"/>
      <c r="E45" s="17"/>
      <c r="F45" s="18">
        <f>SUM(F42:F44)</f>
        <v>2050</v>
      </c>
      <c r="G45" s="7">
        <f t="shared" si="1"/>
        <v>0</v>
      </c>
      <c r="H45" s="7">
        <f t="shared" si="2"/>
        <v>0</v>
      </c>
      <c r="I45" s="10">
        <f t="shared" si="6"/>
        <v>2050</v>
      </c>
      <c r="J45" s="13">
        <v>2350</v>
      </c>
      <c r="K45">
        <f t="shared" si="9"/>
        <v>0</v>
      </c>
      <c r="L45">
        <f t="shared" si="10"/>
        <v>0</v>
      </c>
      <c r="M45" s="16">
        <f t="shared" si="11"/>
        <v>21000</v>
      </c>
    </row>
    <row r="46" spans="2:13" x14ac:dyDescent="0.2">
      <c r="B46" s="49" t="s">
        <v>11</v>
      </c>
      <c r="C46" s="49"/>
      <c r="D46" s="49"/>
      <c r="E46" s="49"/>
      <c r="F46" s="49"/>
      <c r="G46" s="7">
        <f t="shared" si="1"/>
        <v>0</v>
      </c>
      <c r="H46" s="7">
        <f t="shared" si="2"/>
        <v>0</v>
      </c>
      <c r="I46" s="10">
        <f t="shared" si="6"/>
        <v>0</v>
      </c>
      <c r="J46" s="49"/>
      <c r="K46">
        <f t="shared" si="9"/>
        <v>0</v>
      </c>
      <c r="L46">
        <f t="shared" si="10"/>
        <v>0</v>
      </c>
      <c r="M46" s="16">
        <f t="shared" si="11"/>
        <v>0</v>
      </c>
    </row>
    <row r="47" spans="2:13" x14ac:dyDescent="0.2">
      <c r="B47" s="15" t="s">
        <v>130</v>
      </c>
      <c r="C47" s="15" t="s">
        <v>32</v>
      </c>
      <c r="D47" s="8">
        <v>17000</v>
      </c>
      <c r="E47" s="46" t="s">
        <v>58</v>
      </c>
      <c r="F47" s="41">
        <f>D47</f>
        <v>17000</v>
      </c>
      <c r="G47" s="7">
        <f t="shared" si="1"/>
        <v>0</v>
      </c>
      <c r="H47" s="7">
        <f t="shared" si="2"/>
        <v>0</v>
      </c>
      <c r="I47" s="10">
        <f t="shared" si="6"/>
        <v>0</v>
      </c>
      <c r="J47" s="9"/>
      <c r="K47">
        <f t="shared" si="9"/>
        <v>0</v>
      </c>
      <c r="L47">
        <f t="shared" si="10"/>
        <v>0</v>
      </c>
      <c r="M47" s="16">
        <f t="shared" si="11"/>
        <v>0</v>
      </c>
    </row>
    <row r="48" spans="2:13" x14ac:dyDescent="0.2">
      <c r="B48" s="17" t="s">
        <v>104</v>
      </c>
      <c r="C48" s="17"/>
      <c r="D48" s="17"/>
      <c r="E48" s="17"/>
      <c r="F48" s="18">
        <v>17000</v>
      </c>
      <c r="G48" s="7">
        <f>IF(C48="Normal",F48,0)</f>
        <v>0</v>
      </c>
      <c r="H48" s="7">
        <f>IF(C48="Surplus",F48,0)</f>
        <v>0</v>
      </c>
      <c r="I48" s="10">
        <f>IF(B48="Total",F48,0)</f>
        <v>0</v>
      </c>
      <c r="J48" s="13">
        <v>21000</v>
      </c>
      <c r="K48">
        <f t="shared" si="9"/>
        <v>0</v>
      </c>
      <c r="L48">
        <f t="shared" si="10"/>
        <v>0</v>
      </c>
      <c r="M48" s="16">
        <f t="shared" si="11"/>
        <v>0</v>
      </c>
    </row>
    <row r="49" spans="2:13" x14ac:dyDescent="0.2">
      <c r="B49" s="49" t="s">
        <v>12</v>
      </c>
      <c r="C49" s="49"/>
      <c r="D49" s="49"/>
      <c r="E49" s="49"/>
      <c r="F49" s="49"/>
      <c r="G49" s="7">
        <f t="shared" si="1"/>
        <v>0</v>
      </c>
      <c r="H49" s="7">
        <f t="shared" si="2"/>
        <v>0</v>
      </c>
      <c r="I49" s="10">
        <f t="shared" si="6"/>
        <v>0</v>
      </c>
      <c r="J49" s="49"/>
      <c r="K49">
        <f t="shared" si="9"/>
        <v>0</v>
      </c>
      <c r="L49">
        <f t="shared" si="10"/>
        <v>0</v>
      </c>
      <c r="M49" s="16">
        <f t="shared" si="11"/>
        <v>0</v>
      </c>
    </row>
    <row r="50" spans="2:13" x14ac:dyDescent="0.2">
      <c r="B50" s="15" t="s">
        <v>40</v>
      </c>
      <c r="C50" s="15" t="s">
        <v>26</v>
      </c>
      <c r="D50" s="8">
        <v>350</v>
      </c>
      <c r="E50" s="15">
        <v>1</v>
      </c>
      <c r="F50" s="8">
        <f>D50*E50</f>
        <v>350</v>
      </c>
      <c r="G50" s="7">
        <f t="shared" si="1"/>
        <v>0</v>
      </c>
      <c r="H50" s="7">
        <f t="shared" si="2"/>
        <v>0</v>
      </c>
      <c r="I50" s="15">
        <f t="shared" si="6"/>
        <v>0</v>
      </c>
      <c r="J50" s="9"/>
      <c r="M50" s="16"/>
    </row>
    <row r="51" spans="2:13" x14ac:dyDescent="0.2">
      <c r="B51" s="15" t="s">
        <v>41</v>
      </c>
      <c r="C51" s="15" t="s">
        <v>26</v>
      </c>
      <c r="D51" s="8">
        <v>250</v>
      </c>
      <c r="E51" s="15">
        <v>1</v>
      </c>
      <c r="F51" s="8">
        <f t="shared" ref="F51:F57" si="12">D51*E51</f>
        <v>250</v>
      </c>
      <c r="G51" s="7">
        <f t="shared" si="1"/>
        <v>0</v>
      </c>
      <c r="H51" s="7">
        <f t="shared" si="2"/>
        <v>0</v>
      </c>
      <c r="I51" s="15">
        <f t="shared" si="6"/>
        <v>0</v>
      </c>
      <c r="J51" s="9"/>
      <c r="M51" s="16"/>
    </row>
    <row r="52" spans="2:13" x14ac:dyDescent="0.2">
      <c r="B52" s="15" t="s">
        <v>42</v>
      </c>
      <c r="C52" s="15" t="s">
        <v>26</v>
      </c>
      <c r="D52" s="8">
        <v>100</v>
      </c>
      <c r="E52" s="15">
        <v>1</v>
      </c>
      <c r="F52" s="8">
        <f t="shared" si="12"/>
        <v>100</v>
      </c>
      <c r="G52" s="7">
        <f t="shared" si="1"/>
        <v>0</v>
      </c>
      <c r="H52" s="7">
        <f t="shared" si="2"/>
        <v>0</v>
      </c>
      <c r="I52" s="15">
        <f t="shared" si="6"/>
        <v>0</v>
      </c>
      <c r="J52" s="9"/>
      <c r="M52" s="16"/>
    </row>
    <row r="53" spans="2:13" x14ac:dyDescent="0.2">
      <c r="B53" s="15" t="s">
        <v>43</v>
      </c>
      <c r="C53" s="15" t="s">
        <v>46</v>
      </c>
      <c r="D53" s="8">
        <v>300</v>
      </c>
      <c r="E53" s="15">
        <v>1</v>
      </c>
      <c r="F53" s="8">
        <f t="shared" si="12"/>
        <v>300</v>
      </c>
      <c r="G53" s="7">
        <f t="shared" si="1"/>
        <v>0</v>
      </c>
      <c r="H53" s="7">
        <f t="shared" si="2"/>
        <v>0</v>
      </c>
      <c r="I53" s="15">
        <f t="shared" si="6"/>
        <v>0</v>
      </c>
      <c r="J53" s="9"/>
      <c r="M53" s="16"/>
    </row>
    <row r="54" spans="2:13" x14ac:dyDescent="0.2">
      <c r="B54" s="15" t="s">
        <v>131</v>
      </c>
      <c r="C54" s="15" t="s">
        <v>28</v>
      </c>
      <c r="D54" s="8">
        <v>200</v>
      </c>
      <c r="E54" s="15">
        <v>1</v>
      </c>
      <c r="F54" s="8">
        <f t="shared" si="12"/>
        <v>200</v>
      </c>
      <c r="G54" s="7"/>
      <c r="H54" s="7"/>
      <c r="I54" s="10"/>
      <c r="J54" s="9"/>
      <c r="M54" s="16"/>
    </row>
    <row r="55" spans="2:13" x14ac:dyDescent="0.2">
      <c r="B55" s="15" t="s">
        <v>44</v>
      </c>
      <c r="C55" s="15" t="s">
        <v>28</v>
      </c>
      <c r="D55" s="8">
        <v>250</v>
      </c>
      <c r="E55" s="15">
        <v>1</v>
      </c>
      <c r="F55" s="8">
        <f t="shared" si="12"/>
        <v>250</v>
      </c>
      <c r="G55" s="7">
        <f t="shared" si="1"/>
        <v>0</v>
      </c>
      <c r="H55" s="7">
        <f t="shared" si="2"/>
        <v>0</v>
      </c>
      <c r="I55" s="10">
        <f t="shared" si="6"/>
        <v>0</v>
      </c>
      <c r="J55" s="9"/>
      <c r="K55">
        <f>IF(C55="Normal",J58,0)</f>
        <v>0</v>
      </c>
      <c r="L55">
        <f>IF(C55="Surplus",J58,0)</f>
        <v>0</v>
      </c>
      <c r="M55" s="16">
        <f>IF(B55="Total",J58,0)</f>
        <v>0</v>
      </c>
    </row>
    <row r="56" spans="2:13" x14ac:dyDescent="0.2">
      <c r="B56" s="15" t="s">
        <v>45</v>
      </c>
      <c r="C56" s="15" t="s">
        <v>47</v>
      </c>
      <c r="D56" s="8">
        <v>150</v>
      </c>
      <c r="E56" s="15">
        <v>3</v>
      </c>
      <c r="F56" s="8">
        <f t="shared" si="12"/>
        <v>450</v>
      </c>
      <c r="G56" s="7">
        <f t="shared" si="1"/>
        <v>0</v>
      </c>
      <c r="H56" s="7">
        <f t="shared" si="2"/>
        <v>0</v>
      </c>
      <c r="I56" s="10">
        <f t="shared" si="6"/>
        <v>0</v>
      </c>
      <c r="J56" s="9"/>
      <c r="K56">
        <f>IF(C56="Normal",J59,0)</f>
        <v>0</v>
      </c>
      <c r="L56">
        <f>IF(C56="Surplus",J59,0)</f>
        <v>0</v>
      </c>
      <c r="M56" s="16">
        <f>IF(B56="Total",J59,0)</f>
        <v>0</v>
      </c>
    </row>
    <row r="57" spans="2:13" x14ac:dyDescent="0.2">
      <c r="B57" s="15" t="s">
        <v>48</v>
      </c>
      <c r="C57" s="15" t="s">
        <v>30</v>
      </c>
      <c r="D57" s="8">
        <v>230</v>
      </c>
      <c r="E57" s="15">
        <v>1</v>
      </c>
      <c r="F57" s="8">
        <f t="shared" si="12"/>
        <v>230</v>
      </c>
      <c r="G57" s="7">
        <f t="shared" si="1"/>
        <v>0</v>
      </c>
      <c r="H57" s="7">
        <f t="shared" si="2"/>
        <v>0</v>
      </c>
      <c r="I57" s="10">
        <f t="shared" si="6"/>
        <v>0</v>
      </c>
      <c r="J57" s="9"/>
      <c r="K57">
        <f>IF(C57="Normal",J60,0)</f>
        <v>0</v>
      </c>
      <c r="L57">
        <f>IF(C57="Surplus",J60,0)</f>
        <v>0</v>
      </c>
      <c r="M57" s="16">
        <f>IF(B57="Total",J60,0)</f>
        <v>0</v>
      </c>
    </row>
    <row r="58" spans="2:13" x14ac:dyDescent="0.2">
      <c r="B58" s="17" t="s">
        <v>4</v>
      </c>
      <c r="C58" s="17"/>
      <c r="D58" s="17"/>
      <c r="E58" s="17"/>
      <c r="F58" s="18">
        <f>SUM(F50:F57)</f>
        <v>2130</v>
      </c>
      <c r="G58" s="7">
        <f t="shared" si="1"/>
        <v>0</v>
      </c>
      <c r="H58" s="7">
        <f t="shared" si="2"/>
        <v>0</v>
      </c>
      <c r="I58" s="10">
        <f t="shared" si="6"/>
        <v>2130</v>
      </c>
      <c r="J58" s="13">
        <v>2500</v>
      </c>
      <c r="K58">
        <f>IF(C58="Normal",J62,0)</f>
        <v>0</v>
      </c>
      <c r="L58">
        <f>IF(C58="Surplus",J62,0)</f>
        <v>0</v>
      </c>
      <c r="M58" s="16">
        <f>IF(B58="Total",J62,0)</f>
        <v>4000</v>
      </c>
    </row>
    <row r="59" spans="2:13" x14ac:dyDescent="0.2">
      <c r="B59" s="49" t="s">
        <v>13</v>
      </c>
      <c r="C59" s="49"/>
      <c r="D59" s="49"/>
      <c r="E59" s="49"/>
      <c r="F59" s="49"/>
      <c r="G59" s="7">
        <f t="shared" si="1"/>
        <v>0</v>
      </c>
      <c r="H59" s="7">
        <f t="shared" si="2"/>
        <v>0</v>
      </c>
      <c r="I59" s="10">
        <f t="shared" si="6"/>
        <v>0</v>
      </c>
      <c r="J59" s="49"/>
      <c r="K59">
        <f>IF(C59="Normal",J63,0)</f>
        <v>0</v>
      </c>
      <c r="L59">
        <f>IF(C59="Surplus",J63,0)</f>
        <v>0</v>
      </c>
      <c r="M59" s="16">
        <f>IF(B59="Total",J63,0)</f>
        <v>0</v>
      </c>
    </row>
    <row r="60" spans="2:13" x14ac:dyDescent="0.2">
      <c r="B60" s="15" t="s">
        <v>123</v>
      </c>
      <c r="C60" s="15" t="s">
        <v>29</v>
      </c>
      <c r="D60" s="8">
        <v>400</v>
      </c>
      <c r="E60" s="44" t="s">
        <v>59</v>
      </c>
      <c r="F60" s="8">
        <f>D60*4</f>
        <v>1600</v>
      </c>
      <c r="G60" s="7">
        <f>IF(C92="Normal",F92,0)</f>
        <v>0</v>
      </c>
      <c r="H60" s="7">
        <f>IF(C92="Surplus",F92,0)</f>
        <v>0</v>
      </c>
      <c r="I60" s="10" t="e">
        <f>IF(#REF!="Total",F92,0)</f>
        <v>#REF!</v>
      </c>
      <c r="J60" s="21"/>
      <c r="K60">
        <f>IF(C92="Normal",J64,0)</f>
        <v>0</v>
      </c>
      <c r="L60">
        <f>IF(C92="Surplus",J64,0)</f>
        <v>0</v>
      </c>
      <c r="M60" s="16" t="e">
        <f>IF(#REF!="Total",J64,0)</f>
        <v>#REF!</v>
      </c>
    </row>
    <row r="61" spans="2:13" x14ac:dyDescent="0.2">
      <c r="B61" s="61" t="s">
        <v>103</v>
      </c>
      <c r="C61" s="61" t="s">
        <v>26</v>
      </c>
      <c r="D61" s="62"/>
      <c r="E61" s="84"/>
      <c r="F61" s="62">
        <v>600</v>
      </c>
      <c r="G61" s="7"/>
      <c r="H61" s="7"/>
      <c r="I61" s="10"/>
      <c r="J61" s="85"/>
      <c r="M61" s="16"/>
    </row>
    <row r="62" spans="2:13" x14ac:dyDescent="0.2">
      <c r="B62" s="17" t="s">
        <v>4</v>
      </c>
      <c r="C62" s="17"/>
      <c r="D62" s="17"/>
      <c r="E62" s="17"/>
      <c r="F62" s="22">
        <f>SUM(F60:F61)</f>
        <v>2200</v>
      </c>
      <c r="G62" s="58"/>
      <c r="H62" s="58"/>
      <c r="I62" s="63"/>
      <c r="J62" s="23">
        <v>4000</v>
      </c>
      <c r="M62" s="16"/>
    </row>
    <row r="63" spans="2:13" x14ac:dyDescent="0.2">
      <c r="B63" s="49" t="s">
        <v>14</v>
      </c>
      <c r="C63" s="49"/>
      <c r="D63" s="49"/>
      <c r="E63" s="49"/>
      <c r="F63" s="49"/>
      <c r="G63" s="7" t="e">
        <f>IF(#REF!="Normal",#REF!,0)</f>
        <v>#REF!</v>
      </c>
      <c r="H63" s="7" t="e">
        <f>IF(#REF!="Surplus",#REF!,0)</f>
        <v>#REF!</v>
      </c>
      <c r="I63" s="10">
        <f>IF(B92="Total",#REF!,0)</f>
        <v>0</v>
      </c>
      <c r="J63" s="49"/>
      <c r="K63" t="e">
        <f>IF(#REF!="Normal",J68,0)</f>
        <v>#REF!</v>
      </c>
      <c r="L63" t="e">
        <f>IF(#REF!="Surplus",J68,0)</f>
        <v>#REF!</v>
      </c>
      <c r="M63" s="16">
        <f>IF(B92="Total",J68,0)</f>
        <v>0</v>
      </c>
    </row>
    <row r="64" spans="2:13" x14ac:dyDescent="0.2">
      <c r="B64" s="15" t="s">
        <v>15</v>
      </c>
      <c r="C64" s="15" t="s">
        <v>28</v>
      </c>
      <c r="D64" s="8">
        <v>750</v>
      </c>
      <c r="E64" s="15">
        <v>2</v>
      </c>
      <c r="F64" s="8">
        <v>1000</v>
      </c>
      <c r="G64" s="7">
        <f t="shared" si="1"/>
        <v>0</v>
      </c>
      <c r="H64" s="7">
        <f t="shared" si="2"/>
        <v>0</v>
      </c>
      <c r="I64" s="10">
        <f t="shared" si="6"/>
        <v>0</v>
      </c>
      <c r="J64" s="9"/>
      <c r="K64">
        <f t="shared" ref="K64:K69" si="13">IF(C64="Normal",J69,0)</f>
        <v>0</v>
      </c>
      <c r="L64">
        <f t="shared" ref="L64:L69" si="14">IF(C64="Surplus",J69,0)</f>
        <v>0</v>
      </c>
      <c r="M64" s="16">
        <f>IF(B64="Total",J69,0)</f>
        <v>0</v>
      </c>
    </row>
    <row r="65" spans="2:13" x14ac:dyDescent="0.2">
      <c r="B65" s="15" t="s">
        <v>35</v>
      </c>
      <c r="C65" s="15" t="s">
        <v>62</v>
      </c>
      <c r="D65" s="8">
        <v>500</v>
      </c>
      <c r="E65" s="15">
        <v>4</v>
      </c>
      <c r="F65" s="8">
        <f>D65*E65</f>
        <v>2000</v>
      </c>
      <c r="G65" s="7">
        <f t="shared" si="1"/>
        <v>0</v>
      </c>
      <c r="H65" s="7">
        <f t="shared" si="2"/>
        <v>0</v>
      </c>
      <c r="I65" s="10">
        <f t="shared" si="6"/>
        <v>0</v>
      </c>
      <c r="J65" s="9"/>
      <c r="K65">
        <f t="shared" si="13"/>
        <v>0</v>
      </c>
      <c r="L65">
        <f t="shared" si="14"/>
        <v>0</v>
      </c>
      <c r="M65" s="16">
        <f>IF(B65="Total",J70,0)</f>
        <v>0</v>
      </c>
    </row>
    <row r="66" spans="2:13" x14ac:dyDescent="0.2">
      <c r="B66" s="15" t="s">
        <v>35</v>
      </c>
      <c r="C66" s="15" t="s">
        <v>63</v>
      </c>
      <c r="D66" s="8">
        <v>500</v>
      </c>
      <c r="E66" s="15">
        <v>4</v>
      </c>
      <c r="F66" s="8">
        <f>D66*E66</f>
        <v>2000</v>
      </c>
      <c r="G66" s="7">
        <f>IF(C66="Normal",F66,0)</f>
        <v>0</v>
      </c>
      <c r="H66" s="7">
        <f>IF(C66="Surplus",F66,0)</f>
        <v>0</v>
      </c>
      <c r="I66" s="10" t="e">
        <f>IF(#REF!="Total",F66,0)</f>
        <v>#REF!</v>
      </c>
      <c r="J66" s="64"/>
      <c r="K66">
        <f t="shared" si="13"/>
        <v>0</v>
      </c>
      <c r="L66">
        <f t="shared" si="14"/>
        <v>0</v>
      </c>
      <c r="M66" s="16" t="e">
        <f>IF(#REF!="Total",J71,0)</f>
        <v>#REF!</v>
      </c>
    </row>
    <row r="67" spans="2:13" x14ac:dyDescent="0.2">
      <c r="B67" s="61" t="s">
        <v>98</v>
      </c>
      <c r="C67" s="61" t="s">
        <v>28</v>
      </c>
      <c r="D67" s="62">
        <v>320</v>
      </c>
      <c r="E67" s="61">
        <v>1</v>
      </c>
      <c r="F67" s="62">
        <v>320</v>
      </c>
      <c r="G67" s="7">
        <f t="shared" si="1"/>
        <v>0</v>
      </c>
      <c r="H67" s="7">
        <f t="shared" si="2"/>
        <v>0</v>
      </c>
      <c r="I67" s="10">
        <f t="shared" si="6"/>
        <v>0</v>
      </c>
      <c r="J67" s="64"/>
      <c r="K67">
        <f t="shared" si="13"/>
        <v>0</v>
      </c>
      <c r="L67">
        <f t="shared" si="14"/>
        <v>0</v>
      </c>
      <c r="M67" s="16">
        <f>IF(B67="Total",J72,0)</f>
        <v>0</v>
      </c>
    </row>
    <row r="68" spans="2:13" x14ac:dyDescent="0.2">
      <c r="B68" s="24" t="s">
        <v>16</v>
      </c>
      <c r="C68" s="15" t="s">
        <v>29</v>
      </c>
      <c r="D68" s="41">
        <v>500</v>
      </c>
      <c r="E68" s="44" t="s">
        <v>59</v>
      </c>
      <c r="F68" s="41">
        <v>500</v>
      </c>
      <c r="G68" s="7">
        <f t="shared" si="1"/>
        <v>0</v>
      </c>
      <c r="H68" s="7">
        <f t="shared" si="2"/>
        <v>0</v>
      </c>
      <c r="I68" s="10">
        <f t="shared" si="6"/>
        <v>0</v>
      </c>
      <c r="J68" s="9"/>
      <c r="K68">
        <f t="shared" si="13"/>
        <v>0</v>
      </c>
      <c r="L68">
        <f t="shared" si="14"/>
        <v>0</v>
      </c>
      <c r="M68" s="16">
        <f>IF(B68="Total",J73,0)</f>
        <v>0</v>
      </c>
    </row>
    <row r="69" spans="2:13" x14ac:dyDescent="0.2">
      <c r="B69" s="17" t="s">
        <v>4</v>
      </c>
      <c r="C69" s="17"/>
      <c r="D69" s="17"/>
      <c r="E69" s="17"/>
      <c r="F69" s="22">
        <f t="shared" ref="F69" si="15">SUM(F64:F68)</f>
        <v>5820</v>
      </c>
      <c r="G69" s="7">
        <f t="shared" si="1"/>
        <v>0</v>
      </c>
      <c r="H69" s="7">
        <f t="shared" si="2"/>
        <v>0</v>
      </c>
      <c r="I69" s="10">
        <f t="shared" si="6"/>
        <v>5820</v>
      </c>
      <c r="J69" s="23">
        <v>8320</v>
      </c>
      <c r="K69">
        <f t="shared" si="13"/>
        <v>0</v>
      </c>
      <c r="L69">
        <f t="shared" si="14"/>
        <v>0</v>
      </c>
      <c r="M69" s="16">
        <f>IF(B69="Total",J74,0)</f>
        <v>0</v>
      </c>
    </row>
    <row r="70" spans="2:13" x14ac:dyDescent="0.2">
      <c r="B70" s="49" t="s">
        <v>17</v>
      </c>
      <c r="C70" s="49"/>
      <c r="D70" s="49"/>
      <c r="E70" s="49"/>
      <c r="F70" s="49"/>
      <c r="G70" s="7"/>
      <c r="H70" s="7"/>
      <c r="I70" s="10"/>
      <c r="J70" s="49"/>
      <c r="M70" s="16"/>
    </row>
    <row r="71" spans="2:13" x14ac:dyDescent="0.2">
      <c r="B71" s="24" t="s">
        <v>18</v>
      </c>
      <c r="C71" s="15" t="s">
        <v>32</v>
      </c>
      <c r="D71" s="8">
        <v>1500</v>
      </c>
      <c r="E71" s="46" t="s">
        <v>58</v>
      </c>
      <c r="F71" s="8">
        <v>1500</v>
      </c>
      <c r="G71" s="7">
        <f t="shared" si="1"/>
        <v>0</v>
      </c>
      <c r="H71" s="7">
        <f t="shared" si="2"/>
        <v>0</v>
      </c>
      <c r="I71" s="10">
        <f t="shared" si="6"/>
        <v>0</v>
      </c>
      <c r="J71" s="9"/>
      <c r="K71">
        <f>IF(C71="Normal",J76,0)</f>
        <v>0</v>
      </c>
      <c r="L71">
        <f>IF(C71="Surplus",J76,0)</f>
        <v>0</v>
      </c>
      <c r="M71" s="16">
        <f>IF(B71="Total",J76,0)</f>
        <v>0</v>
      </c>
    </row>
    <row r="72" spans="2:13" x14ac:dyDescent="0.2">
      <c r="B72" s="17" t="s">
        <v>4</v>
      </c>
      <c r="C72" s="17"/>
      <c r="D72" s="17"/>
      <c r="E72" s="17"/>
      <c r="F72" s="18">
        <f>F71</f>
        <v>1500</v>
      </c>
      <c r="G72" s="7">
        <f t="shared" si="1"/>
        <v>0</v>
      </c>
      <c r="H72" s="7">
        <f t="shared" si="2"/>
        <v>0</v>
      </c>
      <c r="I72" s="10">
        <f t="shared" si="6"/>
        <v>1500</v>
      </c>
      <c r="J72" s="13">
        <v>1500</v>
      </c>
      <c r="K72">
        <f>IF(C72="Normal",J77,0)</f>
        <v>0</v>
      </c>
      <c r="L72">
        <f>IF(C72="Surplus",J77,0)</f>
        <v>0</v>
      </c>
      <c r="M72" s="16">
        <f>IF(B72="Total",J77,0)</f>
        <v>0</v>
      </c>
    </row>
    <row r="73" spans="2:13" x14ac:dyDescent="0.2">
      <c r="B73" s="49" t="s">
        <v>19</v>
      </c>
      <c r="C73" s="49"/>
      <c r="D73" s="49"/>
      <c r="E73" s="49"/>
      <c r="F73" s="49"/>
      <c r="G73" s="7">
        <f t="shared" si="1"/>
        <v>0</v>
      </c>
      <c r="H73" s="7">
        <f t="shared" si="2"/>
        <v>0</v>
      </c>
      <c r="I73" s="10">
        <f t="shared" si="6"/>
        <v>0</v>
      </c>
      <c r="J73" s="49"/>
      <c r="M73" s="16"/>
    </row>
    <row r="74" spans="2:13" x14ac:dyDescent="0.2">
      <c r="B74" s="26" t="s">
        <v>54</v>
      </c>
      <c r="C74" s="26" t="s">
        <v>26</v>
      </c>
      <c r="D74" s="8">
        <v>1400</v>
      </c>
      <c r="E74" s="45">
        <v>6</v>
      </c>
      <c r="F74" s="27">
        <f>D74*E74</f>
        <v>8400</v>
      </c>
      <c r="G74" s="7">
        <f t="shared" si="1"/>
        <v>0</v>
      </c>
      <c r="H74" s="7">
        <f t="shared" si="2"/>
        <v>0</v>
      </c>
      <c r="I74" s="10">
        <f t="shared" si="6"/>
        <v>0</v>
      </c>
      <c r="J74" s="28"/>
      <c r="M74" s="16"/>
    </row>
    <row r="75" spans="2:13" x14ac:dyDescent="0.2">
      <c r="B75" s="26" t="s">
        <v>20</v>
      </c>
      <c r="C75" s="26" t="s">
        <v>28</v>
      </c>
      <c r="D75" s="8">
        <v>3500</v>
      </c>
      <c r="E75" s="45">
        <v>1</v>
      </c>
      <c r="F75" s="27">
        <f t="shared" ref="F75:F78" si="16">D75*E75</f>
        <v>3500</v>
      </c>
      <c r="G75" s="7">
        <f t="shared" ref="G75:G95" si="17">IF(C75="Normal",F75,0)</f>
        <v>0</v>
      </c>
      <c r="H75" s="7">
        <f t="shared" ref="H75:H95" si="18">IF(C75="Surplus",F75,0)</f>
        <v>0</v>
      </c>
      <c r="I75" s="10">
        <f t="shared" si="6"/>
        <v>0</v>
      </c>
      <c r="J75" s="28"/>
      <c r="K75">
        <f>IF(C75="Normal",#REF!,0)</f>
        <v>0</v>
      </c>
      <c r="L75">
        <f>IF(C75="Surplus",#REF!,0)</f>
        <v>0</v>
      </c>
      <c r="M75" s="16">
        <f>IF(B75="Total",#REF!,0)</f>
        <v>0</v>
      </c>
    </row>
    <row r="76" spans="2:13" x14ac:dyDescent="0.2">
      <c r="B76" s="26" t="s">
        <v>55</v>
      </c>
      <c r="C76" s="26" t="s">
        <v>28</v>
      </c>
      <c r="D76" s="8">
        <v>1500</v>
      </c>
      <c r="E76" s="45">
        <v>1</v>
      </c>
      <c r="F76" s="27">
        <f t="shared" si="16"/>
        <v>1500</v>
      </c>
      <c r="G76" s="7">
        <f t="shared" si="17"/>
        <v>0</v>
      </c>
      <c r="H76" s="7">
        <f t="shared" si="18"/>
        <v>0</v>
      </c>
      <c r="I76" s="10">
        <f t="shared" si="6"/>
        <v>0</v>
      </c>
      <c r="J76" s="28"/>
      <c r="K76">
        <f>IF(C76="Normal",#REF!,0)</f>
        <v>0</v>
      </c>
      <c r="L76">
        <f>IF(C76="Surplus",#REF!,0)</f>
        <v>0</v>
      </c>
      <c r="M76" s="16">
        <f>IF(B76="Total",#REF!,0)</f>
        <v>0</v>
      </c>
    </row>
    <row r="77" spans="2:13" x14ac:dyDescent="0.2">
      <c r="B77" s="67" t="s">
        <v>101</v>
      </c>
      <c r="C77" s="67" t="s">
        <v>32</v>
      </c>
      <c r="D77" s="62">
        <v>2000</v>
      </c>
      <c r="E77" s="68">
        <v>1</v>
      </c>
      <c r="F77" s="27">
        <f t="shared" si="16"/>
        <v>2000</v>
      </c>
      <c r="G77" s="7">
        <f>IF(C77="Normal",F77,0)</f>
        <v>0</v>
      </c>
      <c r="H77" s="7">
        <f>IF(C77="Surplus",F77,0)</f>
        <v>0</v>
      </c>
      <c r="I77" s="10">
        <f>IF(B77="Total",F77,0)</f>
        <v>0</v>
      </c>
      <c r="J77" s="28"/>
      <c r="K77" t="e">
        <f>IF(#REF!="Normal",#REF!,0)</f>
        <v>#REF!</v>
      </c>
      <c r="L77" t="e">
        <f>IF(#REF!="Surplus",#REF!,0)</f>
        <v>#REF!</v>
      </c>
      <c r="M77" s="16" t="e">
        <f>IF(#REF!="Total",#REF!,0)</f>
        <v>#REF!</v>
      </c>
    </row>
    <row r="78" spans="2:13" x14ac:dyDescent="0.2">
      <c r="B78" s="26" t="s">
        <v>56</v>
      </c>
      <c r="C78" s="26" t="s">
        <v>32</v>
      </c>
      <c r="D78" s="8">
        <v>5300</v>
      </c>
      <c r="E78" s="45">
        <v>1</v>
      </c>
      <c r="F78" s="27">
        <f t="shared" si="16"/>
        <v>5300</v>
      </c>
      <c r="G78" s="7">
        <f>IF(C78="Normal",F78,0)</f>
        <v>0</v>
      </c>
      <c r="H78" s="7">
        <f>IF(C78="Surplus",F78,0)</f>
        <v>0</v>
      </c>
      <c r="I78" s="10">
        <f>IF(B78="Total",F78,0)</f>
        <v>0</v>
      </c>
      <c r="J78" s="28"/>
      <c r="M78" s="16"/>
    </row>
    <row r="79" spans="2:13" x14ac:dyDescent="0.2">
      <c r="B79" s="26" t="s">
        <v>57</v>
      </c>
      <c r="C79" s="26" t="s">
        <v>29</v>
      </c>
      <c r="D79" s="8">
        <v>1000</v>
      </c>
      <c r="E79" s="44" t="s">
        <v>59</v>
      </c>
      <c r="F79" s="27">
        <f>D79</f>
        <v>1000</v>
      </c>
      <c r="G79" s="7">
        <f t="shared" si="17"/>
        <v>0</v>
      </c>
      <c r="H79" s="7">
        <f t="shared" si="18"/>
        <v>0</v>
      </c>
      <c r="I79" s="10">
        <f t="shared" ref="I79:I98" si="19">IF(B79="Total",F79,0)</f>
        <v>0</v>
      </c>
      <c r="J79" s="28"/>
      <c r="K79">
        <f>IF(C79="Normal",J80,0)</f>
        <v>0</v>
      </c>
      <c r="L79">
        <f>IF(C79="Surplus",J80,0)</f>
        <v>0</v>
      </c>
      <c r="M79" s="16">
        <f>IF(B79="Total",J80,0)</f>
        <v>0</v>
      </c>
    </row>
    <row r="80" spans="2:13" x14ac:dyDescent="0.2">
      <c r="B80" s="29" t="s">
        <v>4</v>
      </c>
      <c r="C80" s="29"/>
      <c r="D80" s="29"/>
      <c r="E80" s="29"/>
      <c r="F80" s="30">
        <f>SUM(F74:F79)</f>
        <v>21700</v>
      </c>
      <c r="G80" s="7">
        <f t="shared" si="17"/>
        <v>0</v>
      </c>
      <c r="H80" s="7">
        <f>IF(C80="Surplus",F80,0)</f>
        <v>0</v>
      </c>
      <c r="I80" s="10">
        <f t="shared" si="19"/>
        <v>21700</v>
      </c>
      <c r="J80" s="31">
        <v>27600</v>
      </c>
      <c r="K80">
        <f>IF(C80="Normal",J81,0)</f>
        <v>0</v>
      </c>
      <c r="L80">
        <f>IF(C80="Surplus",J81,0)</f>
        <v>0</v>
      </c>
      <c r="M80" s="16">
        <f>IF(B80="Total",J81,0)</f>
        <v>0</v>
      </c>
    </row>
    <row r="81" spans="2:13" x14ac:dyDescent="0.2">
      <c r="B81" s="49" t="s">
        <v>21</v>
      </c>
      <c r="C81" s="49"/>
      <c r="D81" s="49"/>
      <c r="E81" s="49"/>
      <c r="F81" s="49"/>
      <c r="G81" s="7">
        <f t="shared" si="17"/>
        <v>0</v>
      </c>
      <c r="H81" s="7">
        <f>IF(C81="Surplus",F81,0)</f>
        <v>0</v>
      </c>
      <c r="I81" s="10">
        <f t="shared" si="19"/>
        <v>0</v>
      </c>
      <c r="J81" s="49"/>
      <c r="K81">
        <f>IF(C81="Normal",J86,0)</f>
        <v>0</v>
      </c>
      <c r="L81">
        <f>IF(C81="Surplus",J86,0)</f>
        <v>0</v>
      </c>
      <c r="M81" s="16">
        <f>IF(B81="Total",J86,0)</f>
        <v>0</v>
      </c>
    </row>
    <row r="82" spans="2:13" x14ac:dyDescent="0.2">
      <c r="B82" s="15" t="s">
        <v>124</v>
      </c>
      <c r="C82" s="15" t="s">
        <v>26</v>
      </c>
      <c r="D82" s="8">
        <v>300</v>
      </c>
      <c r="E82" s="15">
        <v>1</v>
      </c>
      <c r="F82" s="41">
        <f>D82*E82</f>
        <v>300</v>
      </c>
      <c r="G82" s="7"/>
      <c r="H82" s="7"/>
      <c r="I82" s="10"/>
      <c r="J82" s="28"/>
      <c r="M82" s="16"/>
    </row>
    <row r="83" spans="2:13" x14ac:dyDescent="0.2">
      <c r="B83" s="15" t="s">
        <v>125</v>
      </c>
      <c r="C83" s="26" t="s">
        <v>29</v>
      </c>
      <c r="D83" s="8">
        <v>50</v>
      </c>
      <c r="E83" s="15">
        <v>4</v>
      </c>
      <c r="F83" s="41">
        <f>D83*E83</f>
        <v>200</v>
      </c>
      <c r="G83" s="7"/>
      <c r="H83" s="7"/>
      <c r="I83" s="10"/>
      <c r="J83" s="28"/>
      <c r="M83" s="16"/>
    </row>
    <row r="84" spans="2:13" x14ac:dyDescent="0.2">
      <c r="B84" s="17" t="s">
        <v>4</v>
      </c>
      <c r="C84" s="17"/>
      <c r="D84" s="17"/>
      <c r="E84" s="17"/>
      <c r="F84" s="18">
        <v>500</v>
      </c>
      <c r="G84" s="7"/>
      <c r="H84" s="7"/>
      <c r="I84" s="10"/>
      <c r="J84" s="13">
        <v>472</v>
      </c>
      <c r="M84" s="16"/>
    </row>
    <row r="85" spans="2:13" x14ac:dyDescent="0.2">
      <c r="B85" s="49" t="s">
        <v>22</v>
      </c>
      <c r="C85" s="49"/>
      <c r="D85" s="49"/>
      <c r="E85" s="49"/>
      <c r="F85" s="49"/>
      <c r="G85" s="7">
        <f t="shared" si="17"/>
        <v>0</v>
      </c>
      <c r="H85" s="7">
        <f>IF(C85="Surplus",F85,0)</f>
        <v>0</v>
      </c>
      <c r="I85" s="10">
        <f t="shared" si="19"/>
        <v>0</v>
      </c>
      <c r="J85" s="49"/>
      <c r="K85">
        <f>IF(C85="Normal",J84,0)</f>
        <v>0</v>
      </c>
      <c r="L85">
        <f>IF(C85="Surplus",J84,0)</f>
        <v>0</v>
      </c>
      <c r="M85" s="16">
        <f>IF(B85="Total",J84,0)</f>
        <v>0</v>
      </c>
    </row>
    <row r="86" spans="2:13" x14ac:dyDescent="0.2">
      <c r="B86" s="24" t="s">
        <v>37</v>
      </c>
      <c r="C86" s="24" t="s">
        <v>26</v>
      </c>
      <c r="D86" s="25">
        <v>250</v>
      </c>
      <c r="E86" s="24">
        <v>1</v>
      </c>
      <c r="F86" s="25">
        <f>D86*E86</f>
        <v>250</v>
      </c>
      <c r="G86" s="7">
        <f t="shared" si="17"/>
        <v>0</v>
      </c>
      <c r="H86" s="7">
        <f t="shared" si="18"/>
        <v>0</v>
      </c>
      <c r="I86" s="10">
        <f t="shared" si="19"/>
        <v>0</v>
      </c>
      <c r="J86" s="9"/>
      <c r="K86">
        <f>IF(C86="Normal",J85,0)</f>
        <v>0</v>
      </c>
      <c r="L86">
        <f>IF(C86="Surplus",J85,0)</f>
        <v>0</v>
      </c>
      <c r="M86" s="16">
        <f>IF(B86="Total",J85,0)</f>
        <v>0</v>
      </c>
    </row>
    <row r="87" spans="2:13" x14ac:dyDescent="0.2">
      <c r="B87" s="15" t="s">
        <v>23</v>
      </c>
      <c r="C87" s="24" t="s">
        <v>62</v>
      </c>
      <c r="D87" s="25">
        <v>2500</v>
      </c>
      <c r="E87" s="44" t="s">
        <v>53</v>
      </c>
      <c r="F87" s="25">
        <f>D87</f>
        <v>2500</v>
      </c>
      <c r="G87" s="7">
        <f t="shared" si="17"/>
        <v>0</v>
      </c>
      <c r="H87" s="7">
        <f t="shared" si="18"/>
        <v>0</v>
      </c>
      <c r="I87" s="10">
        <f t="shared" si="19"/>
        <v>0</v>
      </c>
      <c r="J87" s="9"/>
      <c r="K87">
        <f>IF(C87="Normal",J92,0)</f>
        <v>0</v>
      </c>
      <c r="L87">
        <f>IF(C87="Surplus",J92,0)</f>
        <v>0</v>
      </c>
      <c r="M87" s="16">
        <f>IF(B87="Total",J92,0)</f>
        <v>0</v>
      </c>
    </row>
    <row r="88" spans="2:13" x14ac:dyDescent="0.2">
      <c r="B88" s="15" t="s">
        <v>23</v>
      </c>
      <c r="C88" s="15" t="s">
        <v>63</v>
      </c>
      <c r="D88" s="8">
        <v>2500</v>
      </c>
      <c r="E88" s="44" t="s">
        <v>53</v>
      </c>
      <c r="F88" s="25">
        <f>D88</f>
        <v>2500</v>
      </c>
      <c r="G88" s="7">
        <f t="shared" si="17"/>
        <v>0</v>
      </c>
      <c r="H88" s="7">
        <f t="shared" si="18"/>
        <v>0</v>
      </c>
      <c r="I88" s="10">
        <f t="shared" si="19"/>
        <v>0</v>
      </c>
      <c r="J88" s="9"/>
      <c r="K88">
        <f>IF(C88="Normal",J93,0)</f>
        <v>0</v>
      </c>
      <c r="L88">
        <f>IF(C88="Surplus",J93,0)</f>
        <v>0</v>
      </c>
      <c r="M88" s="16">
        <f>IF(B88="Total",J93,0)</f>
        <v>0</v>
      </c>
    </row>
    <row r="89" spans="2:13" x14ac:dyDescent="0.2">
      <c r="B89" s="15" t="s">
        <v>38</v>
      </c>
      <c r="C89" s="15" t="s">
        <v>29</v>
      </c>
      <c r="D89" s="8">
        <v>250</v>
      </c>
      <c r="E89" s="44" t="s">
        <v>53</v>
      </c>
      <c r="F89" s="25">
        <f>D89</f>
        <v>250</v>
      </c>
      <c r="G89" s="7"/>
      <c r="H89" s="7"/>
      <c r="I89" s="10"/>
      <c r="J89" s="9"/>
      <c r="M89" s="16"/>
    </row>
    <row r="90" spans="2:13" x14ac:dyDescent="0.2">
      <c r="B90" s="17" t="s">
        <v>4</v>
      </c>
      <c r="C90" s="17"/>
      <c r="D90" s="17"/>
      <c r="E90" s="17"/>
      <c r="F90" s="18">
        <f>SUM(F86:F89)</f>
        <v>5500</v>
      </c>
      <c r="G90" s="7">
        <f t="shared" si="17"/>
        <v>0</v>
      </c>
      <c r="H90" s="7">
        <f t="shared" si="18"/>
        <v>0</v>
      </c>
      <c r="I90" s="10">
        <f t="shared" si="19"/>
        <v>5500</v>
      </c>
      <c r="J90" s="13">
        <v>7500</v>
      </c>
      <c r="K90">
        <f>IF(C90="Normal",J90,0)</f>
        <v>0</v>
      </c>
      <c r="L90">
        <f>IF(C90="Surplus",J90,0)</f>
        <v>0</v>
      </c>
      <c r="M90" s="16">
        <f>IF(B90="Total",J90,0)</f>
        <v>7500</v>
      </c>
    </row>
    <row r="91" spans="2:13" x14ac:dyDescent="0.2">
      <c r="B91" s="49" t="s">
        <v>24</v>
      </c>
      <c r="C91" s="49"/>
      <c r="D91" s="49"/>
      <c r="E91" s="49"/>
      <c r="F91" s="49"/>
      <c r="G91" s="7">
        <f t="shared" si="17"/>
        <v>0</v>
      </c>
      <c r="H91" s="7">
        <f t="shared" si="18"/>
        <v>0</v>
      </c>
      <c r="I91" s="10">
        <f t="shared" si="19"/>
        <v>0</v>
      </c>
      <c r="J91" s="49"/>
      <c r="K91">
        <f>IF(C91="Normal",J91,0)</f>
        <v>0</v>
      </c>
      <c r="L91">
        <f>IF(C91="Surplus",J91,0)</f>
        <v>0</v>
      </c>
      <c r="M91" s="16">
        <f>IF(B91="Total",J91,0)</f>
        <v>0</v>
      </c>
    </row>
    <row r="92" spans="2:13" x14ac:dyDescent="0.2">
      <c r="B92" s="15" t="s">
        <v>64</v>
      </c>
      <c r="C92" s="15" t="s">
        <v>26</v>
      </c>
      <c r="D92" s="8">
        <v>3000</v>
      </c>
      <c r="E92" s="15">
        <v>1</v>
      </c>
      <c r="F92" s="8">
        <v>3000</v>
      </c>
      <c r="G92" s="7">
        <f>IF(C60="Normal",F60,0)</f>
        <v>0</v>
      </c>
      <c r="H92" s="7">
        <f>IF(C60="Surplus",F60,0)</f>
        <v>0</v>
      </c>
      <c r="I92" s="10">
        <f>IF(B60="Total",F60,0)</f>
        <v>0</v>
      </c>
      <c r="J92" s="9"/>
      <c r="K92">
        <f>IF(C60="Normal",J97,0)</f>
        <v>0</v>
      </c>
      <c r="L92">
        <f>IF(C60="Surplus",J97,0)</f>
        <v>0</v>
      </c>
      <c r="M92" s="16">
        <f>IF(B60="Total",J97,0)</f>
        <v>0</v>
      </c>
    </row>
    <row r="93" spans="2:13" x14ac:dyDescent="0.2">
      <c r="B93" s="15" t="s">
        <v>36</v>
      </c>
      <c r="C93" s="15" t="s">
        <v>32</v>
      </c>
      <c r="D93" s="8">
        <v>2000</v>
      </c>
      <c r="E93" s="46" t="s">
        <v>58</v>
      </c>
      <c r="F93" s="8">
        <v>2000</v>
      </c>
      <c r="G93" s="7">
        <f t="shared" si="17"/>
        <v>0</v>
      </c>
      <c r="H93" s="7">
        <f t="shared" si="18"/>
        <v>0</v>
      </c>
      <c r="I93" s="10">
        <f t="shared" si="19"/>
        <v>0</v>
      </c>
      <c r="J93" s="9"/>
      <c r="K93">
        <f>IF(C93="Normal",#REF!,0)</f>
        <v>0</v>
      </c>
      <c r="L93">
        <f>IF(C93="Surplus",#REF!,0)</f>
        <v>0</v>
      </c>
      <c r="M93" s="16">
        <f>IF(B93="Total",#REF!,0)</f>
        <v>0</v>
      </c>
    </row>
    <row r="94" spans="2:13" x14ac:dyDescent="0.2">
      <c r="B94" s="61" t="s">
        <v>149</v>
      </c>
      <c r="C94" s="15" t="s">
        <v>29</v>
      </c>
      <c r="D94" s="62">
        <v>1000</v>
      </c>
      <c r="E94" s="44" t="s">
        <v>53</v>
      </c>
      <c r="F94" s="62">
        <v>1000</v>
      </c>
      <c r="G94" s="7">
        <f t="shared" si="17"/>
        <v>0</v>
      </c>
      <c r="H94" s="7">
        <f t="shared" si="18"/>
        <v>0</v>
      </c>
      <c r="I94" s="10">
        <f t="shared" si="19"/>
        <v>0</v>
      </c>
      <c r="J94" s="9"/>
      <c r="K94">
        <f>IF(C94="Normal",J99,0)</f>
        <v>0</v>
      </c>
      <c r="L94">
        <f>IF(C94="Surplus",J99,0)</f>
        <v>0</v>
      </c>
      <c r="M94" s="16">
        <f>IF(B94="Total",J99,0)</f>
        <v>0</v>
      </c>
    </row>
    <row r="95" spans="2:13" x14ac:dyDescent="0.2">
      <c r="B95" s="17" t="s">
        <v>4</v>
      </c>
      <c r="C95" s="17"/>
      <c r="D95" s="17"/>
      <c r="E95" s="17"/>
      <c r="F95" s="18">
        <f>SUM(F92:F94)</f>
        <v>6000</v>
      </c>
      <c r="G95">
        <f t="shared" si="17"/>
        <v>0</v>
      </c>
      <c r="H95">
        <f t="shared" si="18"/>
        <v>0</v>
      </c>
      <c r="I95" s="16">
        <f t="shared" si="19"/>
        <v>6000</v>
      </c>
      <c r="J95" s="13">
        <v>8000</v>
      </c>
      <c r="K95">
        <f>IF(C95="Normal",J100,0)</f>
        <v>0</v>
      </c>
      <c r="L95">
        <f>IF(C95="Surplus",J100,0)</f>
        <v>0</v>
      </c>
      <c r="M95" s="16">
        <f>IF(B95="Total",J100,0)</f>
        <v>0</v>
      </c>
    </row>
    <row r="96" spans="2:13" x14ac:dyDescent="0.2">
      <c r="B96" s="32"/>
      <c r="C96" s="32"/>
      <c r="D96" s="32"/>
      <c r="E96" s="32"/>
      <c r="F96" s="33"/>
      <c r="G96" t="e">
        <f>IF(#REF!="Normal",F96,0)</f>
        <v>#REF!</v>
      </c>
      <c r="H96" t="e">
        <f>IF(#REF!="Surplus",F96,0)</f>
        <v>#REF!</v>
      </c>
      <c r="I96" s="16" t="e">
        <f>IF(#REF!="Total",F96,0)</f>
        <v>#REF!</v>
      </c>
      <c r="K96" t="e">
        <f>IF(#REF!="Normal",#REF!,0)</f>
        <v>#REF!</v>
      </c>
      <c r="L96" t="e">
        <f>IF(#REF!="Surplus",#REF!,0)</f>
        <v>#REF!</v>
      </c>
      <c r="M96" s="16" t="e">
        <f>IF(#REF!="Total",#REF!,0)</f>
        <v>#REF!</v>
      </c>
    </row>
    <row r="97" spans="2:13" x14ac:dyDescent="0.2">
      <c r="B97" s="34" t="s">
        <v>25</v>
      </c>
      <c r="C97" s="34"/>
      <c r="D97" s="34"/>
      <c r="E97" s="34"/>
      <c r="F97" s="42">
        <f>F15+F21+F25+F40+F45+F48+F58+F62+F69+F72+F80+F84+F90+F95</f>
        <v>77500</v>
      </c>
      <c r="G97">
        <f>IF(C96="Normal",F97,0)</f>
        <v>0</v>
      </c>
      <c r="H97">
        <f>IF(C96="Surplus",F97,0)</f>
        <v>0</v>
      </c>
      <c r="I97" s="16">
        <f>IF(B96="Total",F97,0)</f>
        <v>0</v>
      </c>
      <c r="J97" s="35">
        <f>J95+J90+J84+J80+J72+J69+J62+J58+J48+J45+J40+J25+J21+J15</f>
        <v>99622</v>
      </c>
      <c r="K97">
        <f>IF(C96="Normal",J101,0)</f>
        <v>0</v>
      </c>
      <c r="L97">
        <f>IF(C96="Surplus",J101,0)</f>
        <v>0</v>
      </c>
      <c r="M97" s="16">
        <f>IF(B96="Total",J101,0)</f>
        <v>0</v>
      </c>
    </row>
    <row r="98" spans="2:13" x14ac:dyDescent="0.2">
      <c r="G98">
        <f>IF(C98="Normal",F98,0)</f>
        <v>0</v>
      </c>
      <c r="H98">
        <f>IF(C98="Surplus",F98,0)</f>
        <v>0</v>
      </c>
      <c r="I98" s="16">
        <f t="shared" si="19"/>
        <v>0</v>
      </c>
    </row>
    <row r="99" spans="2:13" x14ac:dyDescent="0.2">
      <c r="B99" s="36" t="s">
        <v>136</v>
      </c>
      <c r="C99" s="36"/>
      <c r="D99" s="36"/>
      <c r="E99" s="36"/>
      <c r="F99" s="37">
        <f>F8-F97</f>
        <v>43922.83</v>
      </c>
      <c r="J99" s="86"/>
    </row>
    <row r="100" spans="2:13" x14ac:dyDescent="0.2">
      <c r="J100" s="87"/>
    </row>
    <row r="101" spans="2:13" x14ac:dyDescent="0.2">
      <c r="J101" s="86"/>
    </row>
    <row r="105" spans="2:13" x14ac:dyDescent="0.2">
      <c r="K105" s="16"/>
    </row>
    <row r="106" spans="2:13" x14ac:dyDescent="0.2">
      <c r="K106" s="1"/>
    </row>
    <row r="107" spans="2:13" x14ac:dyDescent="0.2">
      <c r="L107" s="39"/>
    </row>
    <row r="110" spans="2:13" x14ac:dyDescent="0.2">
      <c r="J110" s="16"/>
    </row>
    <row r="111" spans="2:13" x14ac:dyDescent="0.2">
      <c r="J111" s="16"/>
    </row>
  </sheetData>
  <printOptions horizontalCentered="1" verticalCentered="1"/>
  <pageMargins left="0.25" right="0.25" top="0.75" bottom="0.75" header="0.3" footer="0.3"/>
  <pageSetup scale="54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09"/>
  <sheetViews>
    <sheetView tabSelected="1" topLeftCell="A73" zoomScale="80" zoomScaleNormal="80" zoomScalePageLayoutView="80" workbookViewId="0">
      <selection activeCell="J93" sqref="J93"/>
    </sheetView>
  </sheetViews>
  <sheetFormatPr defaultColWidth="8.75" defaultRowHeight="12.75" x14ac:dyDescent="0.2"/>
  <cols>
    <col min="1" max="1" width="5.25" customWidth="1"/>
    <col min="2" max="2" width="66.875" customWidth="1"/>
    <col min="3" max="3" width="11.875" customWidth="1"/>
    <col min="4" max="4" width="14.875" bestFit="1" customWidth="1"/>
    <col min="5" max="5" width="21.5" bestFit="1" customWidth="1"/>
    <col min="6" max="6" width="17.25" customWidth="1"/>
    <col min="7" max="9" width="9" hidden="1" customWidth="1"/>
    <col min="10" max="10" width="16.125" customWidth="1"/>
    <col min="11" max="11" width="5.875" hidden="1" customWidth="1"/>
    <col min="12" max="12" width="3.875" hidden="1" customWidth="1"/>
    <col min="13" max="13" width="5.875" hidden="1" customWidth="1"/>
  </cols>
  <sheetData>
    <row r="1" spans="2:13" x14ac:dyDescent="0.2">
      <c r="J1" s="1"/>
    </row>
    <row r="2" spans="2:13" ht="18" x14ac:dyDescent="0.25">
      <c r="B2" s="2" t="s">
        <v>137</v>
      </c>
      <c r="C2" s="2"/>
      <c r="D2" s="3"/>
      <c r="E2" s="3"/>
      <c r="F2" s="3"/>
      <c r="J2" s="1"/>
    </row>
    <row r="3" spans="2:13" ht="11.25" customHeight="1" x14ac:dyDescent="0.25">
      <c r="B3" s="2"/>
      <c r="C3" s="2"/>
      <c r="D3" s="3"/>
      <c r="E3" s="3"/>
      <c r="F3" s="3"/>
      <c r="J3" s="1"/>
    </row>
    <row r="4" spans="2:13" ht="25.5" x14ac:dyDescent="0.2">
      <c r="B4" s="4"/>
      <c r="C4" s="5"/>
      <c r="D4" s="5"/>
      <c r="E4" s="5"/>
      <c r="F4" s="6" t="s">
        <v>132</v>
      </c>
      <c r="J4" s="6" t="s">
        <v>61</v>
      </c>
    </row>
    <row r="5" spans="2:13" x14ac:dyDescent="0.2">
      <c r="B5" s="7" t="s">
        <v>0</v>
      </c>
      <c r="C5" s="7"/>
      <c r="D5" s="7"/>
      <c r="E5" s="7"/>
      <c r="F5" s="8">
        <f>+'Transaction Journal'!D21</f>
        <v>47822.83</v>
      </c>
      <c r="J5" s="9">
        <f>+'Transaction Journal'!D21</f>
        <v>47822.83</v>
      </c>
    </row>
    <row r="6" spans="2:13" x14ac:dyDescent="0.2">
      <c r="B6" s="15" t="s">
        <v>134</v>
      </c>
      <c r="C6" s="10"/>
      <c r="D6" s="10"/>
      <c r="E6" s="10"/>
      <c r="F6" s="8">
        <v>73500</v>
      </c>
      <c r="J6" s="9">
        <f>+'Transaction Journal'!D24+'Transaction Journal'!D25+'Transaction Journal'!D26+'Transaction Journal'!D51+'Transaction Journal'!D55</f>
        <v>73250</v>
      </c>
    </row>
    <row r="7" spans="2:13" x14ac:dyDescent="0.2">
      <c r="B7" s="10" t="s">
        <v>1</v>
      </c>
      <c r="C7" s="10"/>
      <c r="D7" s="10"/>
      <c r="E7" s="10"/>
      <c r="F7" s="8">
        <v>100</v>
      </c>
      <c r="J7" s="9">
        <f>+'Transaction Journal'!D22+'Transaction Journal'!D27+'Transaction Journal'!D31</f>
        <v>42.84</v>
      </c>
    </row>
    <row r="8" spans="2:13" x14ac:dyDescent="0.2">
      <c r="B8" s="11" t="s">
        <v>2</v>
      </c>
      <c r="C8" s="11"/>
      <c r="D8" s="11"/>
      <c r="E8" s="11"/>
      <c r="F8" s="12">
        <f>SUM(F5:F7)</f>
        <v>121422.83</v>
      </c>
      <c r="J8" s="13">
        <f>SUM(J5:J7)</f>
        <v>121115.67</v>
      </c>
    </row>
    <row r="9" spans="2:13" x14ac:dyDescent="0.2">
      <c r="F9" s="14"/>
      <c r="J9" s="14"/>
    </row>
    <row r="10" spans="2:13" x14ac:dyDescent="0.2">
      <c r="B10" s="49" t="s">
        <v>3</v>
      </c>
      <c r="C10" s="49"/>
      <c r="D10" s="49"/>
      <c r="E10" s="49"/>
      <c r="F10" s="49"/>
      <c r="G10" s="7"/>
      <c r="H10" s="7"/>
      <c r="I10" s="7"/>
      <c r="J10" s="49"/>
    </row>
    <row r="11" spans="2:13" x14ac:dyDescent="0.2">
      <c r="B11" s="15" t="s">
        <v>27</v>
      </c>
      <c r="C11" s="15" t="s">
        <v>26</v>
      </c>
      <c r="D11" s="41">
        <v>200</v>
      </c>
      <c r="E11" s="15">
        <v>1</v>
      </c>
      <c r="F11" s="41">
        <f>D11*E11</f>
        <v>200</v>
      </c>
      <c r="G11" s="7"/>
      <c r="H11" s="7"/>
      <c r="I11" s="10"/>
      <c r="J11" s="9">
        <v>0</v>
      </c>
      <c r="M11" s="16"/>
    </row>
    <row r="12" spans="2:13" x14ac:dyDescent="0.2">
      <c r="B12" s="15" t="s">
        <v>27</v>
      </c>
      <c r="C12" s="15" t="s">
        <v>28</v>
      </c>
      <c r="D12" s="41">
        <v>200</v>
      </c>
      <c r="E12" s="15">
        <v>1</v>
      </c>
      <c r="F12" s="41">
        <f t="shared" ref="F12:F14" si="0">D12*E12</f>
        <v>200</v>
      </c>
      <c r="G12" s="7"/>
      <c r="H12" s="7"/>
      <c r="I12" s="10"/>
      <c r="J12" s="9">
        <v>0</v>
      </c>
      <c r="M12" s="16"/>
    </row>
    <row r="13" spans="2:13" x14ac:dyDescent="0.2">
      <c r="B13" s="15" t="s">
        <v>27</v>
      </c>
      <c r="C13" s="15" t="s">
        <v>28</v>
      </c>
      <c r="D13" s="41">
        <v>200</v>
      </c>
      <c r="E13" s="15">
        <v>1</v>
      </c>
      <c r="F13" s="41">
        <f t="shared" si="0"/>
        <v>200</v>
      </c>
      <c r="G13" s="7">
        <f>IF(C13="Normal",F13,0)</f>
        <v>0</v>
      </c>
      <c r="H13" s="7">
        <f>IF(C13="Surplus",F13,0)</f>
        <v>0</v>
      </c>
      <c r="I13" s="10">
        <f>IF(B13="Total",F13,0)</f>
        <v>0</v>
      </c>
      <c r="J13" s="9">
        <v>0</v>
      </c>
      <c r="K13">
        <f>IF(C13="Normal",J13,0)</f>
        <v>0</v>
      </c>
      <c r="L13">
        <f>IF(C13="Surplus",J13,0)</f>
        <v>0</v>
      </c>
      <c r="M13" s="16">
        <f>IF(B13="Total",J13,0)</f>
        <v>0</v>
      </c>
    </row>
    <row r="14" spans="2:13" s="3" customFormat="1" x14ac:dyDescent="0.2">
      <c r="B14" s="15" t="s">
        <v>27</v>
      </c>
      <c r="C14" s="15" t="s">
        <v>32</v>
      </c>
      <c r="D14" s="41">
        <v>200</v>
      </c>
      <c r="E14" s="15">
        <v>1</v>
      </c>
      <c r="F14" s="41">
        <f t="shared" si="0"/>
        <v>200</v>
      </c>
      <c r="G14" s="7"/>
      <c r="H14" s="7"/>
      <c r="I14" s="10"/>
      <c r="J14" s="9">
        <v>0</v>
      </c>
      <c r="M14" s="47"/>
    </row>
    <row r="15" spans="2:13" x14ac:dyDescent="0.2">
      <c r="B15" s="17" t="s">
        <v>4</v>
      </c>
      <c r="C15" s="17"/>
      <c r="D15" s="17"/>
      <c r="E15" s="17"/>
      <c r="F15" s="18">
        <f>SUM(F11:F14)</f>
        <v>800</v>
      </c>
      <c r="G15" s="7">
        <f t="shared" ref="G15:G76" si="1">IF(C15="Normal",F15,0)</f>
        <v>0</v>
      </c>
      <c r="H15" s="7">
        <f t="shared" ref="H15:H76" si="2">IF(C15="Surplus",F15,0)</f>
        <v>0</v>
      </c>
      <c r="I15" s="10">
        <f>IF(B15="Total",F15,0)</f>
        <v>800</v>
      </c>
      <c r="J15" s="13">
        <f>SUM(J11:J14)</f>
        <v>0</v>
      </c>
      <c r="K15">
        <f t="shared" ref="K15:K16" si="3">IF(C15="Normal",J15,0)</f>
        <v>0</v>
      </c>
      <c r="L15">
        <f t="shared" ref="L15:L16" si="4">IF(C15="Surplus",J15,0)</f>
        <v>0</v>
      </c>
      <c r="M15" s="16">
        <f t="shared" ref="M15:M16" si="5">IF(B15="Total",J15,0)</f>
        <v>0</v>
      </c>
    </row>
    <row r="16" spans="2:13" x14ac:dyDescent="0.2">
      <c r="B16" s="49" t="s">
        <v>5</v>
      </c>
      <c r="C16" s="49"/>
      <c r="D16" s="49"/>
      <c r="E16" s="49"/>
      <c r="F16" s="49"/>
      <c r="G16" s="7">
        <f t="shared" si="1"/>
        <v>0</v>
      </c>
      <c r="H16" s="7">
        <f t="shared" si="2"/>
        <v>0</v>
      </c>
      <c r="I16" s="10">
        <f t="shared" ref="I16:I77" si="6">IF(B16="Total",F16,0)</f>
        <v>0</v>
      </c>
      <c r="J16" s="49"/>
      <c r="K16">
        <f t="shared" si="3"/>
        <v>0</v>
      </c>
      <c r="L16">
        <f t="shared" si="4"/>
        <v>0</v>
      </c>
      <c r="M16" s="16">
        <f t="shared" si="5"/>
        <v>0</v>
      </c>
    </row>
    <row r="17" spans="2:13" x14ac:dyDescent="0.2">
      <c r="B17" s="15" t="s">
        <v>39</v>
      </c>
      <c r="C17" s="15" t="s">
        <v>26</v>
      </c>
      <c r="D17" s="8">
        <v>200</v>
      </c>
      <c r="E17" s="15">
        <v>1</v>
      </c>
      <c r="F17" s="8">
        <f>D17*E17</f>
        <v>200</v>
      </c>
      <c r="G17" s="7"/>
      <c r="H17" s="7"/>
      <c r="I17" s="10"/>
      <c r="J17" s="9">
        <v>0</v>
      </c>
      <c r="M17" s="16"/>
    </row>
    <row r="18" spans="2:13" x14ac:dyDescent="0.2">
      <c r="B18" s="15" t="s">
        <v>39</v>
      </c>
      <c r="C18" s="15" t="s">
        <v>28</v>
      </c>
      <c r="D18" s="8">
        <v>200</v>
      </c>
      <c r="E18" s="15">
        <v>1</v>
      </c>
      <c r="F18" s="8">
        <f>D18*E18</f>
        <v>200</v>
      </c>
      <c r="G18" s="7"/>
      <c r="H18" s="7"/>
      <c r="I18" s="10"/>
      <c r="J18" s="9">
        <v>0</v>
      </c>
      <c r="M18" s="16"/>
    </row>
    <row r="19" spans="2:13" x14ac:dyDescent="0.2">
      <c r="B19" s="15" t="s">
        <v>39</v>
      </c>
      <c r="C19" s="15" t="s">
        <v>30</v>
      </c>
      <c r="D19" s="8">
        <v>200</v>
      </c>
      <c r="E19" s="15">
        <v>1</v>
      </c>
      <c r="F19" s="8">
        <f t="shared" ref="F19:F20" si="7">D19*E19</f>
        <v>200</v>
      </c>
      <c r="G19" s="7"/>
      <c r="H19" s="7"/>
      <c r="I19" s="10"/>
      <c r="J19" s="9">
        <v>0</v>
      </c>
      <c r="M19" s="16"/>
    </row>
    <row r="20" spans="2:13" x14ac:dyDescent="0.2">
      <c r="B20" s="15" t="s">
        <v>39</v>
      </c>
      <c r="C20" s="15" t="s">
        <v>32</v>
      </c>
      <c r="D20" s="8">
        <v>200</v>
      </c>
      <c r="E20" s="15">
        <v>1</v>
      </c>
      <c r="F20" s="8">
        <f t="shared" si="7"/>
        <v>200</v>
      </c>
      <c r="G20" s="7"/>
      <c r="H20" s="7"/>
      <c r="I20" s="10"/>
      <c r="J20" s="9">
        <v>0</v>
      </c>
      <c r="K20">
        <f>IF(C21="Normal",J21,0)</f>
        <v>0</v>
      </c>
      <c r="L20">
        <f>IF(C21="Surplus",J21,0)</f>
        <v>0</v>
      </c>
      <c r="M20" s="16">
        <f>IF(B21="Total",J21,0)</f>
        <v>0</v>
      </c>
    </row>
    <row r="21" spans="2:13" x14ac:dyDescent="0.2">
      <c r="B21" s="17" t="s">
        <v>4</v>
      </c>
      <c r="C21" s="17"/>
      <c r="D21" s="17"/>
      <c r="E21" s="17"/>
      <c r="F21" s="18">
        <f>SUM(F17:F20)</f>
        <v>800</v>
      </c>
      <c r="G21" s="7">
        <f t="shared" si="1"/>
        <v>0</v>
      </c>
      <c r="H21" s="7">
        <f t="shared" si="2"/>
        <v>0</v>
      </c>
      <c r="I21" s="10">
        <f t="shared" si="6"/>
        <v>800</v>
      </c>
      <c r="J21" s="13">
        <f>SUM(J17:J20)</f>
        <v>0</v>
      </c>
      <c r="K21">
        <f>IF(C22="Normal",J22,0)</f>
        <v>0</v>
      </c>
      <c r="L21">
        <f>IF(C22="Surplus",J22,0)</f>
        <v>0</v>
      </c>
      <c r="M21" s="16">
        <f>IF(B22="Total",J22,0)</f>
        <v>0</v>
      </c>
    </row>
    <row r="22" spans="2:13" x14ac:dyDescent="0.2">
      <c r="B22" s="49" t="s">
        <v>6</v>
      </c>
      <c r="C22" s="49"/>
      <c r="D22" s="49"/>
      <c r="E22" s="49"/>
      <c r="F22" s="49"/>
      <c r="G22" s="7">
        <f t="shared" si="1"/>
        <v>0</v>
      </c>
      <c r="H22" s="7">
        <f t="shared" si="2"/>
        <v>0</v>
      </c>
      <c r="I22" s="10">
        <f t="shared" si="6"/>
        <v>0</v>
      </c>
      <c r="J22" s="49"/>
      <c r="K22" t="e">
        <f>IF(#REF!="Normal",#REF!,0)</f>
        <v>#REF!</v>
      </c>
      <c r="L22" t="e">
        <f>IF(#REF!="Surplus",#REF!,0)</f>
        <v>#REF!</v>
      </c>
      <c r="M22" s="16">
        <f>IF(B23="Total",#REF!,0)</f>
        <v>0</v>
      </c>
    </row>
    <row r="23" spans="2:13" x14ac:dyDescent="0.2">
      <c r="B23" s="15" t="s">
        <v>7</v>
      </c>
      <c r="C23" s="15" t="s">
        <v>30</v>
      </c>
      <c r="D23" s="8">
        <v>2000</v>
      </c>
      <c r="E23" s="15">
        <v>1</v>
      </c>
      <c r="F23" s="8">
        <f>D23*E23</f>
        <v>2000</v>
      </c>
      <c r="G23" s="7">
        <f>IF(C23="Normal",F23,0)</f>
        <v>0</v>
      </c>
      <c r="H23" s="7">
        <f>IF(C23="Surplus",F23,0)</f>
        <v>0</v>
      </c>
      <c r="I23" s="10" t="e">
        <f>IF(#REF!="Total",F23,0)</f>
        <v>#REF!</v>
      </c>
      <c r="J23" s="9">
        <v>0</v>
      </c>
      <c r="K23">
        <f>IF(C24="Normal",J24,0)</f>
        <v>0</v>
      </c>
      <c r="L23">
        <f>IF(C24="Surplus",J24,0)</f>
        <v>0</v>
      </c>
      <c r="M23" s="16">
        <f>IF(B24="Total",J24,0)</f>
        <v>0</v>
      </c>
    </row>
    <row r="24" spans="2:13" x14ac:dyDescent="0.2">
      <c r="B24" s="15" t="s">
        <v>31</v>
      </c>
      <c r="C24" s="15" t="s">
        <v>32</v>
      </c>
      <c r="D24" s="8">
        <v>1500</v>
      </c>
      <c r="E24" s="15">
        <v>1</v>
      </c>
      <c r="F24" s="8">
        <f>D24*E24</f>
        <v>1500</v>
      </c>
      <c r="G24" s="7">
        <f t="shared" si="1"/>
        <v>0</v>
      </c>
      <c r="H24" s="7">
        <f t="shared" si="2"/>
        <v>0</v>
      </c>
      <c r="I24" s="10">
        <f t="shared" si="6"/>
        <v>0</v>
      </c>
      <c r="J24" s="9">
        <v>0</v>
      </c>
      <c r="K24">
        <f>IF(C25="Normal",J25,0)</f>
        <v>0</v>
      </c>
      <c r="L24">
        <f>IF(C25="Surplus",J25,0)</f>
        <v>0</v>
      </c>
      <c r="M24" s="16">
        <f>IF(B25="Total",J25,0)</f>
        <v>0</v>
      </c>
    </row>
    <row r="25" spans="2:13" x14ac:dyDescent="0.2">
      <c r="B25" s="17" t="s">
        <v>4</v>
      </c>
      <c r="C25" s="17"/>
      <c r="D25" s="8"/>
      <c r="E25" s="17"/>
      <c r="F25" s="40">
        <f>SUM(F23:F24)</f>
        <v>3500</v>
      </c>
      <c r="G25" s="7">
        <f t="shared" si="1"/>
        <v>0</v>
      </c>
      <c r="H25" s="7">
        <f t="shared" si="2"/>
        <v>0</v>
      </c>
      <c r="I25" s="10">
        <f t="shared" si="6"/>
        <v>3500</v>
      </c>
      <c r="J25" s="48">
        <f>SUM(J23:J24)</f>
        <v>0</v>
      </c>
      <c r="K25">
        <f>IF(C26="Normal",J26,0)</f>
        <v>0</v>
      </c>
      <c r="L25">
        <f>IF(C26="Surplus",J26,0)</f>
        <v>0</v>
      </c>
      <c r="M25" s="16">
        <f>IF(B26="Total",J26,0)</f>
        <v>0</v>
      </c>
    </row>
    <row r="26" spans="2:13" x14ac:dyDescent="0.2">
      <c r="B26" s="49" t="s">
        <v>8</v>
      </c>
      <c r="C26" s="49"/>
      <c r="D26" s="49"/>
      <c r="E26" s="49"/>
      <c r="F26" s="49"/>
      <c r="G26" s="7">
        <f t="shared" si="1"/>
        <v>0</v>
      </c>
      <c r="H26" s="7">
        <f t="shared" si="2"/>
        <v>0</v>
      </c>
      <c r="I26" s="10">
        <f t="shared" si="6"/>
        <v>0</v>
      </c>
      <c r="J26" s="49"/>
      <c r="M26" s="16"/>
    </row>
    <row r="27" spans="2:13" x14ac:dyDescent="0.2">
      <c r="B27" s="50" t="s">
        <v>49</v>
      </c>
      <c r="C27" s="10" t="s">
        <v>26</v>
      </c>
      <c r="D27" s="20">
        <v>600</v>
      </c>
      <c r="E27" s="43">
        <v>1</v>
      </c>
      <c r="F27" s="8">
        <f t="shared" ref="F27:F39" si="8">D27*E27</f>
        <v>600</v>
      </c>
      <c r="G27" s="7">
        <f t="shared" si="1"/>
        <v>0</v>
      </c>
      <c r="H27" s="7">
        <f t="shared" si="2"/>
        <v>0</v>
      </c>
      <c r="I27" s="15">
        <f t="shared" si="6"/>
        <v>0</v>
      </c>
      <c r="J27" s="9">
        <v>0</v>
      </c>
      <c r="M27" s="16"/>
    </row>
    <row r="28" spans="2:13" x14ac:dyDescent="0.2">
      <c r="B28" s="50" t="s">
        <v>50</v>
      </c>
      <c r="C28" s="10" t="s">
        <v>26</v>
      </c>
      <c r="D28" s="20">
        <v>500</v>
      </c>
      <c r="E28" s="43">
        <v>1</v>
      </c>
      <c r="F28" s="8">
        <f t="shared" si="8"/>
        <v>500</v>
      </c>
      <c r="G28" s="7">
        <f t="shared" si="1"/>
        <v>0</v>
      </c>
      <c r="H28" s="7">
        <f t="shared" si="2"/>
        <v>0</v>
      </c>
      <c r="I28" s="15">
        <f t="shared" si="6"/>
        <v>0</v>
      </c>
      <c r="J28" s="9">
        <v>0</v>
      </c>
      <c r="M28" s="16"/>
    </row>
    <row r="29" spans="2:13" x14ac:dyDescent="0.2">
      <c r="B29" s="50" t="s">
        <v>51</v>
      </c>
      <c r="C29" s="10" t="s">
        <v>26</v>
      </c>
      <c r="D29" s="20">
        <v>500</v>
      </c>
      <c r="E29" s="43">
        <v>1</v>
      </c>
      <c r="F29" s="8">
        <f t="shared" si="8"/>
        <v>500</v>
      </c>
      <c r="G29" s="7"/>
      <c r="H29" s="7"/>
      <c r="I29" s="15"/>
      <c r="J29" s="9">
        <f>-'Transaction Journal'!D54</f>
        <v>387</v>
      </c>
      <c r="M29" s="16"/>
    </row>
    <row r="30" spans="2:13" x14ac:dyDescent="0.2">
      <c r="B30" s="50" t="s">
        <v>65</v>
      </c>
      <c r="C30" s="10" t="s">
        <v>30</v>
      </c>
      <c r="D30" s="20">
        <v>500</v>
      </c>
      <c r="E30" s="43">
        <v>1</v>
      </c>
      <c r="F30" s="8">
        <f t="shared" si="8"/>
        <v>500</v>
      </c>
      <c r="G30" s="7">
        <f t="shared" si="1"/>
        <v>0</v>
      </c>
      <c r="H30" s="7">
        <f t="shared" si="2"/>
        <v>0</v>
      </c>
      <c r="I30" s="15">
        <f t="shared" si="6"/>
        <v>0</v>
      </c>
      <c r="J30" s="9">
        <v>0</v>
      </c>
      <c r="M30" s="16"/>
    </row>
    <row r="31" spans="2:13" x14ac:dyDescent="0.2">
      <c r="B31" s="50" t="s">
        <v>126</v>
      </c>
      <c r="C31" s="10" t="s">
        <v>30</v>
      </c>
      <c r="D31" s="20">
        <v>600</v>
      </c>
      <c r="E31" s="43">
        <v>1</v>
      </c>
      <c r="F31" s="8">
        <f t="shared" si="8"/>
        <v>600</v>
      </c>
      <c r="G31" s="7"/>
      <c r="H31" s="7"/>
      <c r="I31" s="15"/>
      <c r="J31" s="9">
        <v>0</v>
      </c>
      <c r="M31" s="16"/>
    </row>
    <row r="32" spans="2:13" x14ac:dyDescent="0.2">
      <c r="B32" s="50" t="s">
        <v>67</v>
      </c>
      <c r="C32" s="10" t="s">
        <v>32</v>
      </c>
      <c r="D32" s="20">
        <v>1650</v>
      </c>
      <c r="E32" s="44">
        <v>1</v>
      </c>
      <c r="F32" s="8">
        <f t="shared" si="8"/>
        <v>1650</v>
      </c>
      <c r="G32" s="7"/>
      <c r="H32" s="7"/>
      <c r="I32" s="15"/>
      <c r="J32" s="75">
        <v>0</v>
      </c>
      <c r="M32" s="16"/>
    </row>
    <row r="33" spans="2:13" x14ac:dyDescent="0.2">
      <c r="B33" s="50" t="s">
        <v>68</v>
      </c>
      <c r="C33" s="10" t="s">
        <v>32</v>
      </c>
      <c r="D33" s="20">
        <v>1000</v>
      </c>
      <c r="E33" s="43">
        <v>1</v>
      </c>
      <c r="F33" s="8">
        <f t="shared" si="8"/>
        <v>1000</v>
      </c>
      <c r="G33" s="7">
        <f t="shared" si="1"/>
        <v>0</v>
      </c>
      <c r="H33" s="7">
        <f t="shared" si="2"/>
        <v>0</v>
      </c>
      <c r="I33" s="15">
        <f t="shared" si="6"/>
        <v>0</v>
      </c>
      <c r="J33" s="9">
        <v>0</v>
      </c>
      <c r="M33" s="16"/>
    </row>
    <row r="34" spans="2:13" x14ac:dyDescent="0.2">
      <c r="B34" s="50" t="s">
        <v>9</v>
      </c>
      <c r="C34" s="10" t="s">
        <v>29</v>
      </c>
      <c r="D34" s="20">
        <v>300</v>
      </c>
      <c r="E34" s="43">
        <v>1</v>
      </c>
      <c r="F34" s="8">
        <f t="shared" si="8"/>
        <v>300</v>
      </c>
      <c r="G34" s="7">
        <f t="shared" si="1"/>
        <v>0</v>
      </c>
      <c r="H34" s="7">
        <f t="shared" si="2"/>
        <v>0</v>
      </c>
      <c r="I34" s="15">
        <f t="shared" si="6"/>
        <v>0</v>
      </c>
      <c r="J34" s="9">
        <v>0</v>
      </c>
      <c r="M34" s="16"/>
    </row>
    <row r="35" spans="2:13" x14ac:dyDescent="0.2">
      <c r="B35" s="50" t="s">
        <v>52</v>
      </c>
      <c r="C35" s="10" t="s">
        <v>29</v>
      </c>
      <c r="D35" s="20">
        <v>100</v>
      </c>
      <c r="E35" s="43">
        <v>1</v>
      </c>
      <c r="F35" s="8">
        <f t="shared" si="8"/>
        <v>100</v>
      </c>
      <c r="G35" s="7">
        <f t="shared" si="1"/>
        <v>0</v>
      </c>
      <c r="H35" s="7">
        <f t="shared" si="2"/>
        <v>0</v>
      </c>
      <c r="I35" s="15">
        <f t="shared" si="6"/>
        <v>0</v>
      </c>
      <c r="J35" s="9">
        <v>0</v>
      </c>
      <c r="M35" s="16"/>
    </row>
    <row r="36" spans="2:13" x14ac:dyDescent="0.2">
      <c r="B36" s="50" t="s">
        <v>66</v>
      </c>
      <c r="C36" s="10" t="s">
        <v>29</v>
      </c>
      <c r="D36" s="20">
        <v>300</v>
      </c>
      <c r="E36" s="43">
        <v>1</v>
      </c>
      <c r="F36" s="8">
        <f t="shared" si="8"/>
        <v>300</v>
      </c>
      <c r="G36" s="7"/>
      <c r="H36" s="7"/>
      <c r="I36" s="15"/>
      <c r="J36" s="9">
        <v>0</v>
      </c>
      <c r="M36" s="16"/>
    </row>
    <row r="37" spans="2:13" x14ac:dyDescent="0.2">
      <c r="B37" s="50" t="s">
        <v>127</v>
      </c>
      <c r="C37" s="10" t="s">
        <v>28</v>
      </c>
      <c r="D37" s="20">
        <v>350</v>
      </c>
      <c r="E37" s="43">
        <v>1</v>
      </c>
      <c r="F37" s="8">
        <f t="shared" si="8"/>
        <v>350</v>
      </c>
      <c r="G37" s="7">
        <f t="shared" ref="G37" si="9">IF(C37="Normal",F37,0)</f>
        <v>0</v>
      </c>
      <c r="H37" s="7">
        <f t="shared" ref="H37" si="10">IF(C37="Surplus",F37,0)</f>
        <v>0</v>
      </c>
      <c r="I37" s="15">
        <f t="shared" ref="I37" si="11">IF(B37="Total",F37,0)</f>
        <v>0</v>
      </c>
      <c r="J37" s="9">
        <v>0</v>
      </c>
      <c r="M37" s="16"/>
    </row>
    <row r="38" spans="2:13" x14ac:dyDescent="0.2">
      <c r="B38" s="50" t="s">
        <v>128</v>
      </c>
      <c r="C38" s="10" t="s">
        <v>30</v>
      </c>
      <c r="D38" s="20">
        <v>600</v>
      </c>
      <c r="E38" s="44">
        <v>1</v>
      </c>
      <c r="F38" s="8">
        <f t="shared" si="8"/>
        <v>600</v>
      </c>
      <c r="G38" s="7"/>
      <c r="H38" s="7"/>
      <c r="I38" s="15"/>
      <c r="J38" s="9">
        <v>0</v>
      </c>
      <c r="M38" s="16"/>
    </row>
    <row r="39" spans="2:13" x14ac:dyDescent="0.2">
      <c r="B39" s="50" t="s">
        <v>129</v>
      </c>
      <c r="C39" s="10" t="s">
        <v>32</v>
      </c>
      <c r="D39" s="20">
        <v>1000</v>
      </c>
      <c r="E39" s="43">
        <v>1</v>
      </c>
      <c r="F39" s="8">
        <f t="shared" si="8"/>
        <v>1000</v>
      </c>
      <c r="G39" s="7"/>
      <c r="H39" s="7"/>
      <c r="I39" s="15"/>
      <c r="J39" s="9">
        <v>0</v>
      </c>
      <c r="M39" s="16"/>
    </row>
    <row r="40" spans="2:13" x14ac:dyDescent="0.2">
      <c r="B40" s="17" t="s">
        <v>4</v>
      </c>
      <c r="C40" s="17"/>
      <c r="D40" s="17"/>
      <c r="E40" s="17"/>
      <c r="F40" s="18">
        <f>SUM(F27:F39)</f>
        <v>8000</v>
      </c>
      <c r="G40" s="7">
        <f t="shared" si="1"/>
        <v>0</v>
      </c>
      <c r="H40" s="7">
        <f t="shared" si="2"/>
        <v>0</v>
      </c>
      <c r="I40" s="10">
        <f t="shared" si="6"/>
        <v>8000</v>
      </c>
      <c r="J40" s="13">
        <f>SUM(J27:J39)</f>
        <v>387</v>
      </c>
      <c r="K40">
        <f>IF(C41="Normal",J41,0)</f>
        <v>0</v>
      </c>
      <c r="L40">
        <f>IF(C41="Surplus",J41,0)</f>
        <v>0</v>
      </c>
      <c r="M40" s="16">
        <f>IF(B41="Total",J41,0)</f>
        <v>0</v>
      </c>
    </row>
    <row r="41" spans="2:13" x14ac:dyDescent="0.2">
      <c r="B41" s="49" t="s">
        <v>10</v>
      </c>
      <c r="C41" s="49"/>
      <c r="D41" s="49"/>
      <c r="E41" s="49"/>
      <c r="F41" s="49"/>
      <c r="G41" s="7">
        <f t="shared" si="1"/>
        <v>0</v>
      </c>
      <c r="H41" s="7">
        <f t="shared" si="2"/>
        <v>0</v>
      </c>
      <c r="I41" s="10">
        <f t="shared" si="6"/>
        <v>0</v>
      </c>
      <c r="J41" s="49"/>
      <c r="K41">
        <f>IF(C42="Normal",J42,0)</f>
        <v>0</v>
      </c>
      <c r="L41">
        <f>IF(C42="Surplus",J42,0)</f>
        <v>0</v>
      </c>
      <c r="M41" s="16">
        <f>IF(B42="Total",J42,0)</f>
        <v>0</v>
      </c>
    </row>
    <row r="42" spans="2:13" x14ac:dyDescent="0.2">
      <c r="B42" s="15" t="s">
        <v>33</v>
      </c>
      <c r="C42" s="15" t="s">
        <v>26</v>
      </c>
      <c r="D42" s="8">
        <v>1750</v>
      </c>
      <c r="E42" s="15">
        <v>1</v>
      </c>
      <c r="F42" s="41">
        <v>1750</v>
      </c>
      <c r="G42" s="7">
        <f t="shared" si="1"/>
        <v>0</v>
      </c>
      <c r="H42" s="7">
        <f t="shared" si="2"/>
        <v>0</v>
      </c>
      <c r="I42" s="10">
        <f t="shared" si="6"/>
        <v>0</v>
      </c>
      <c r="J42" s="9">
        <f>-'Transaction Journal'!D37-'Transaction Journal'!D49-'Transaction Journal'!D50</f>
        <v>256.81</v>
      </c>
      <c r="M42" s="16"/>
    </row>
    <row r="43" spans="2:13" x14ac:dyDescent="0.2">
      <c r="B43" s="15" t="s">
        <v>34</v>
      </c>
      <c r="C43" s="15" t="s">
        <v>28</v>
      </c>
      <c r="D43" s="8">
        <v>150</v>
      </c>
      <c r="E43" s="15">
        <v>1</v>
      </c>
      <c r="F43" s="41">
        <f>E43*D43</f>
        <v>150</v>
      </c>
      <c r="G43" s="7"/>
      <c r="H43" s="7"/>
      <c r="I43" s="10"/>
      <c r="J43" s="9">
        <f>-'Transaction Journal'!D48</f>
        <v>123.03</v>
      </c>
      <c r="K43">
        <f>IF(C44="Normal",J44,0)</f>
        <v>0</v>
      </c>
      <c r="L43">
        <f>IF(C44="Surplus",J44,0)</f>
        <v>0</v>
      </c>
      <c r="M43" s="16">
        <f>IF(B44="Total",J44,0)</f>
        <v>0</v>
      </c>
    </row>
    <row r="44" spans="2:13" x14ac:dyDescent="0.2">
      <c r="B44" s="15" t="s">
        <v>34</v>
      </c>
      <c r="C44" s="15" t="s">
        <v>32</v>
      </c>
      <c r="D44" s="8">
        <v>150</v>
      </c>
      <c r="E44" s="15">
        <v>1</v>
      </c>
      <c r="F44" s="41">
        <f>E44*D44</f>
        <v>150</v>
      </c>
      <c r="G44" s="7">
        <f t="shared" si="1"/>
        <v>0</v>
      </c>
      <c r="H44" s="7">
        <f t="shared" si="2"/>
        <v>0</v>
      </c>
      <c r="I44" s="10">
        <f t="shared" si="6"/>
        <v>0</v>
      </c>
      <c r="J44" s="9">
        <v>0</v>
      </c>
      <c r="K44">
        <f>IF(C45="Normal",J45,0)</f>
        <v>0</v>
      </c>
      <c r="L44">
        <f>IF(C45="Surplus",J45,0)</f>
        <v>0</v>
      </c>
      <c r="M44" s="16">
        <f>IF(B45="Total",J45,0)</f>
        <v>379.84000000000003</v>
      </c>
    </row>
    <row r="45" spans="2:13" x14ac:dyDescent="0.2">
      <c r="B45" s="17" t="s">
        <v>4</v>
      </c>
      <c r="C45" s="17"/>
      <c r="D45" s="17"/>
      <c r="E45" s="17"/>
      <c r="F45" s="18">
        <f>SUM(F42:F44)</f>
        <v>2050</v>
      </c>
      <c r="G45" s="7">
        <f t="shared" si="1"/>
        <v>0</v>
      </c>
      <c r="H45" s="7">
        <f t="shared" si="2"/>
        <v>0</v>
      </c>
      <c r="I45" s="10">
        <f t="shared" si="6"/>
        <v>2050</v>
      </c>
      <c r="J45" s="13">
        <f>SUM(J42:J44)</f>
        <v>379.84000000000003</v>
      </c>
      <c r="K45">
        <f>IF(C46="Normal",J46,0)</f>
        <v>0</v>
      </c>
      <c r="L45">
        <f>IF(C46="Surplus",J46,0)</f>
        <v>0</v>
      </c>
      <c r="M45" s="16">
        <f>IF(B46="Total",J46,0)</f>
        <v>0</v>
      </c>
    </row>
    <row r="46" spans="2:13" x14ac:dyDescent="0.2">
      <c r="B46" s="49" t="s">
        <v>11</v>
      </c>
      <c r="C46" s="49"/>
      <c r="D46" s="49"/>
      <c r="E46" s="49"/>
      <c r="F46" s="49"/>
      <c r="G46" s="7">
        <f t="shared" si="1"/>
        <v>0</v>
      </c>
      <c r="H46" s="7">
        <f t="shared" si="2"/>
        <v>0</v>
      </c>
      <c r="I46" s="10">
        <f t="shared" si="6"/>
        <v>0</v>
      </c>
      <c r="J46" s="49"/>
      <c r="M46" s="16"/>
    </row>
    <row r="47" spans="2:13" x14ac:dyDescent="0.2">
      <c r="B47" s="15" t="s">
        <v>130</v>
      </c>
      <c r="C47" s="15" t="s">
        <v>32</v>
      </c>
      <c r="D47" s="8">
        <v>17000</v>
      </c>
      <c r="E47" s="46" t="s">
        <v>58</v>
      </c>
      <c r="F47" s="41">
        <f>D47</f>
        <v>17000</v>
      </c>
      <c r="G47" s="7">
        <f t="shared" si="1"/>
        <v>0</v>
      </c>
      <c r="H47" s="7">
        <f t="shared" si="2"/>
        <v>0</v>
      </c>
      <c r="I47" s="10">
        <f t="shared" si="6"/>
        <v>0</v>
      </c>
      <c r="J47" s="9">
        <v>0</v>
      </c>
      <c r="M47" s="16"/>
    </row>
    <row r="48" spans="2:13" x14ac:dyDescent="0.2">
      <c r="B48" s="17" t="s">
        <v>4</v>
      </c>
      <c r="C48" s="17"/>
      <c r="D48" s="17"/>
      <c r="E48" s="17"/>
      <c r="F48" s="18">
        <v>17000</v>
      </c>
      <c r="G48" s="7">
        <f t="shared" si="1"/>
        <v>0</v>
      </c>
      <c r="H48" s="7">
        <f t="shared" si="2"/>
        <v>0</v>
      </c>
      <c r="I48" s="10">
        <f t="shared" si="6"/>
        <v>17000</v>
      </c>
      <c r="J48" s="13">
        <f>SUM(J47:J47)</f>
        <v>0</v>
      </c>
      <c r="M48" s="16"/>
    </row>
    <row r="49" spans="2:13" x14ac:dyDescent="0.2">
      <c r="B49" s="49" t="s">
        <v>12</v>
      </c>
      <c r="C49" s="49"/>
      <c r="D49" s="49"/>
      <c r="E49" s="49"/>
      <c r="F49" s="49"/>
      <c r="G49" s="7">
        <f t="shared" si="1"/>
        <v>0</v>
      </c>
      <c r="H49" s="7">
        <f t="shared" si="2"/>
        <v>0</v>
      </c>
      <c r="I49" s="10">
        <f t="shared" si="6"/>
        <v>0</v>
      </c>
      <c r="J49" s="49"/>
      <c r="M49" s="16"/>
    </row>
    <row r="50" spans="2:13" x14ac:dyDescent="0.2">
      <c r="B50" s="15" t="s">
        <v>40</v>
      </c>
      <c r="C50" s="15" t="s">
        <v>26</v>
      </c>
      <c r="D50" s="8">
        <v>350</v>
      </c>
      <c r="E50" s="15">
        <v>1</v>
      </c>
      <c r="F50" s="8">
        <f>D50*E50</f>
        <v>350</v>
      </c>
      <c r="G50" s="7">
        <f t="shared" si="1"/>
        <v>0</v>
      </c>
      <c r="H50" s="7">
        <f t="shared" si="2"/>
        <v>0</v>
      </c>
      <c r="I50" s="10">
        <f t="shared" si="6"/>
        <v>0</v>
      </c>
      <c r="J50" s="9">
        <v>0</v>
      </c>
      <c r="M50" s="16"/>
    </row>
    <row r="51" spans="2:13" x14ac:dyDescent="0.2">
      <c r="B51" s="15" t="s">
        <v>41</v>
      </c>
      <c r="C51" s="15" t="s">
        <v>26</v>
      </c>
      <c r="D51" s="8">
        <v>250</v>
      </c>
      <c r="E51" s="15">
        <v>1</v>
      </c>
      <c r="F51" s="8">
        <f t="shared" ref="F51:F57" si="12">D51*E51</f>
        <v>250</v>
      </c>
      <c r="G51" s="7">
        <f>IF(C51="Normal",F51,0)</f>
        <v>0</v>
      </c>
      <c r="H51" s="7">
        <f>IF(C51="Surplus",F51,0)</f>
        <v>0</v>
      </c>
      <c r="I51" s="10">
        <f>IF(B51="Total",F51,0)</f>
        <v>0</v>
      </c>
      <c r="J51" s="9">
        <v>0</v>
      </c>
      <c r="M51" s="16"/>
    </row>
    <row r="52" spans="2:13" x14ac:dyDescent="0.2">
      <c r="B52" s="15" t="s">
        <v>42</v>
      </c>
      <c r="C52" s="15" t="s">
        <v>26</v>
      </c>
      <c r="D52" s="8">
        <v>100</v>
      </c>
      <c r="E52" s="15">
        <v>1</v>
      </c>
      <c r="F52" s="8">
        <f t="shared" si="12"/>
        <v>100</v>
      </c>
      <c r="G52" s="7">
        <f t="shared" si="1"/>
        <v>0</v>
      </c>
      <c r="H52" s="7">
        <f t="shared" si="2"/>
        <v>0</v>
      </c>
      <c r="I52" s="10">
        <f t="shared" si="6"/>
        <v>0</v>
      </c>
      <c r="J52" s="9">
        <v>0</v>
      </c>
      <c r="M52" s="16"/>
    </row>
    <row r="53" spans="2:13" x14ac:dyDescent="0.2">
      <c r="B53" s="15" t="s">
        <v>43</v>
      </c>
      <c r="C53" s="15" t="s">
        <v>46</v>
      </c>
      <c r="D53" s="8">
        <v>300</v>
      </c>
      <c r="E53" s="15">
        <v>1</v>
      </c>
      <c r="F53" s="8">
        <f t="shared" si="12"/>
        <v>300</v>
      </c>
      <c r="G53" s="7"/>
      <c r="H53" s="7"/>
      <c r="I53" s="10"/>
      <c r="J53" s="9">
        <v>0</v>
      </c>
      <c r="M53" s="16"/>
    </row>
    <row r="54" spans="2:13" x14ac:dyDescent="0.2">
      <c r="B54" s="15" t="s">
        <v>131</v>
      </c>
      <c r="C54" s="15" t="s">
        <v>28</v>
      </c>
      <c r="D54" s="8">
        <v>200</v>
      </c>
      <c r="E54" s="15">
        <v>1</v>
      </c>
      <c r="F54" s="8">
        <f t="shared" si="12"/>
        <v>200</v>
      </c>
      <c r="G54" s="7">
        <f t="shared" si="1"/>
        <v>0</v>
      </c>
      <c r="H54" s="7">
        <f t="shared" si="2"/>
        <v>0</v>
      </c>
      <c r="I54" s="15">
        <f t="shared" si="6"/>
        <v>0</v>
      </c>
      <c r="J54" s="9">
        <v>0</v>
      </c>
      <c r="M54" s="16"/>
    </row>
    <row r="55" spans="2:13" x14ac:dyDescent="0.2">
      <c r="B55" s="15" t="s">
        <v>44</v>
      </c>
      <c r="C55" s="15" t="s">
        <v>28</v>
      </c>
      <c r="D55" s="8">
        <v>250</v>
      </c>
      <c r="E55" s="15">
        <v>1</v>
      </c>
      <c r="F55" s="8">
        <f t="shared" si="12"/>
        <v>250</v>
      </c>
      <c r="G55" s="7">
        <f t="shared" si="1"/>
        <v>0</v>
      </c>
      <c r="H55" s="7">
        <f t="shared" si="2"/>
        <v>0</v>
      </c>
      <c r="I55" s="15">
        <f t="shared" si="6"/>
        <v>0</v>
      </c>
      <c r="J55" s="9">
        <v>0</v>
      </c>
      <c r="M55" s="16"/>
    </row>
    <row r="56" spans="2:13" x14ac:dyDescent="0.2">
      <c r="B56" s="15" t="s">
        <v>45</v>
      </c>
      <c r="C56" s="15" t="s">
        <v>47</v>
      </c>
      <c r="D56" s="8">
        <v>150</v>
      </c>
      <c r="E56" s="15">
        <v>3</v>
      </c>
      <c r="F56" s="8">
        <f t="shared" si="12"/>
        <v>450</v>
      </c>
      <c r="G56" s="7">
        <f t="shared" si="1"/>
        <v>0</v>
      </c>
      <c r="H56" s="7">
        <f t="shared" si="2"/>
        <v>0</v>
      </c>
      <c r="I56" s="15">
        <f t="shared" si="6"/>
        <v>0</v>
      </c>
      <c r="J56" s="9">
        <v>0</v>
      </c>
      <c r="K56">
        <f>IF(C58="Normal",J58,0)</f>
        <v>0</v>
      </c>
      <c r="L56">
        <f>IF(C58="Surplus",J58,0)</f>
        <v>0</v>
      </c>
      <c r="M56" s="16">
        <f>IF(B58="Total",J58,0)</f>
        <v>0</v>
      </c>
    </row>
    <row r="57" spans="2:13" x14ac:dyDescent="0.2">
      <c r="B57" s="15" t="s">
        <v>48</v>
      </c>
      <c r="C57" s="15" t="s">
        <v>30</v>
      </c>
      <c r="D57" s="8">
        <v>230</v>
      </c>
      <c r="E57" s="15">
        <v>1</v>
      </c>
      <c r="F57" s="8">
        <f t="shared" si="12"/>
        <v>230</v>
      </c>
      <c r="G57" s="7"/>
      <c r="H57" s="7"/>
      <c r="I57" s="15"/>
      <c r="J57" s="9">
        <v>0</v>
      </c>
      <c r="K57">
        <f>IF(C59="Normal",J59,0)</f>
        <v>0</v>
      </c>
      <c r="L57">
        <f>IF(C59="Surplus",J59,0)</f>
        <v>0</v>
      </c>
      <c r="M57" s="16">
        <f>IF(B59="Total",J59,0)</f>
        <v>0</v>
      </c>
    </row>
    <row r="58" spans="2:13" x14ac:dyDescent="0.2">
      <c r="B58" s="17" t="s">
        <v>4</v>
      </c>
      <c r="C58" s="17"/>
      <c r="D58" s="17"/>
      <c r="E58" s="17"/>
      <c r="F58" s="18">
        <f>SUM(F50:F57)</f>
        <v>2130</v>
      </c>
      <c r="G58" s="7">
        <f t="shared" si="1"/>
        <v>0</v>
      </c>
      <c r="H58" s="7">
        <f t="shared" si="2"/>
        <v>0</v>
      </c>
      <c r="I58" s="10">
        <f t="shared" si="6"/>
        <v>2130</v>
      </c>
      <c r="J58" s="13">
        <f>SUM(J50:J57)</f>
        <v>0</v>
      </c>
      <c r="K58">
        <f>IF(C92="Normal",J64,0)</f>
        <v>0</v>
      </c>
      <c r="L58">
        <f>IF(C92="Surplus",J64,0)</f>
        <v>0</v>
      </c>
      <c r="M58" s="16" t="e">
        <f>IF(#REF!="Total",J64,0)</f>
        <v>#REF!</v>
      </c>
    </row>
    <row r="59" spans="2:13" x14ac:dyDescent="0.2">
      <c r="B59" s="49" t="s">
        <v>13</v>
      </c>
      <c r="C59" s="49"/>
      <c r="D59" s="49"/>
      <c r="E59" s="49"/>
      <c r="F59" s="49"/>
      <c r="G59" s="7">
        <f t="shared" si="1"/>
        <v>0</v>
      </c>
      <c r="H59" s="7">
        <f t="shared" si="2"/>
        <v>0</v>
      </c>
      <c r="I59" s="10">
        <f t="shared" si="6"/>
        <v>0</v>
      </c>
      <c r="J59" s="49"/>
      <c r="M59" s="16"/>
    </row>
    <row r="60" spans="2:13" x14ac:dyDescent="0.2">
      <c r="B60" s="15" t="s">
        <v>123</v>
      </c>
      <c r="C60" s="15" t="s">
        <v>29</v>
      </c>
      <c r="D60" s="8">
        <v>400</v>
      </c>
      <c r="E60" s="44" t="s">
        <v>59</v>
      </c>
      <c r="F60" s="8">
        <f>D60*4</f>
        <v>1600</v>
      </c>
      <c r="G60" s="7">
        <f t="shared" si="1"/>
        <v>0</v>
      </c>
      <c r="H60" s="7">
        <f t="shared" si="2"/>
        <v>0</v>
      </c>
      <c r="I60" s="10">
        <f t="shared" si="6"/>
        <v>0</v>
      </c>
      <c r="J60" s="21">
        <v>0</v>
      </c>
      <c r="M60" s="16"/>
    </row>
    <row r="61" spans="2:13" x14ac:dyDescent="0.2">
      <c r="B61" s="61" t="s">
        <v>103</v>
      </c>
      <c r="C61" s="61" t="s">
        <v>26</v>
      </c>
      <c r="D61" s="62"/>
      <c r="E61" s="84"/>
      <c r="F61" s="62">
        <v>600</v>
      </c>
      <c r="G61" s="58"/>
      <c r="H61" s="58"/>
      <c r="I61" s="63"/>
      <c r="J61" s="85">
        <v>0</v>
      </c>
      <c r="M61" s="16"/>
    </row>
    <row r="62" spans="2:13" x14ac:dyDescent="0.2">
      <c r="B62" s="17" t="s">
        <v>4</v>
      </c>
      <c r="C62" s="17"/>
      <c r="D62" s="17"/>
      <c r="E62" s="17"/>
      <c r="F62" s="22">
        <f>SUM(F60:F61)</f>
        <v>2200</v>
      </c>
      <c r="G62" s="22">
        <f t="shared" ref="G62:I62" si="13">SUM(G60)</f>
        <v>0</v>
      </c>
      <c r="H62" s="22">
        <f t="shared" si="13"/>
        <v>0</v>
      </c>
      <c r="I62" s="22">
        <f t="shared" si="13"/>
        <v>0</v>
      </c>
      <c r="J62" s="13">
        <f>SUM(J60:J61)</f>
        <v>0</v>
      </c>
      <c r="M62" s="16"/>
    </row>
    <row r="63" spans="2:13" x14ac:dyDescent="0.2">
      <c r="B63" s="49" t="s">
        <v>14</v>
      </c>
      <c r="C63" s="49"/>
      <c r="D63" s="49"/>
      <c r="E63" s="49"/>
      <c r="F63" s="49"/>
      <c r="G63" s="7">
        <f t="shared" si="1"/>
        <v>0</v>
      </c>
      <c r="H63" s="7">
        <f t="shared" si="2"/>
        <v>0</v>
      </c>
      <c r="I63" s="10">
        <f t="shared" si="6"/>
        <v>0</v>
      </c>
      <c r="J63" s="49"/>
      <c r="K63" t="e">
        <f>IF(#REF!="Normal",J68,0)</f>
        <v>#REF!</v>
      </c>
      <c r="L63" t="e">
        <f>IF(#REF!="Surplus",J68,0)</f>
        <v>#REF!</v>
      </c>
      <c r="M63" s="16">
        <f>IF(B92="Total",J68,0)</f>
        <v>0</v>
      </c>
    </row>
    <row r="64" spans="2:13" x14ac:dyDescent="0.2">
      <c r="B64" s="15" t="s">
        <v>15</v>
      </c>
      <c r="C64" s="15" t="s">
        <v>28</v>
      </c>
      <c r="D64" s="8">
        <v>750</v>
      </c>
      <c r="E64" s="15">
        <v>2</v>
      </c>
      <c r="F64" s="8">
        <v>1000</v>
      </c>
      <c r="G64" s="7">
        <f>IF(C92="Normal",F92,0)</f>
        <v>0</v>
      </c>
      <c r="H64" s="7">
        <f>IF(C92="Surplus",F92,0)</f>
        <v>0</v>
      </c>
      <c r="I64" s="10" t="e">
        <f>IF(#REF!="Total",F92,0)</f>
        <v>#REF!</v>
      </c>
      <c r="J64" s="9">
        <v>0</v>
      </c>
      <c r="K64" s="22" t="e">
        <f>SUM(K58:K63)</f>
        <v>#REF!</v>
      </c>
      <c r="L64" s="22" t="e">
        <f>SUM(L58:L63)</f>
        <v>#REF!</v>
      </c>
      <c r="M64" s="22" t="e">
        <f>SUM(M58:M63)</f>
        <v>#REF!</v>
      </c>
    </row>
    <row r="65" spans="2:13" x14ac:dyDescent="0.2">
      <c r="B65" s="15" t="s">
        <v>35</v>
      </c>
      <c r="C65" s="15" t="s">
        <v>62</v>
      </c>
      <c r="D65" s="8">
        <v>500</v>
      </c>
      <c r="E65" s="15">
        <v>4</v>
      </c>
      <c r="F65" s="8">
        <f>D65*E65</f>
        <v>2000</v>
      </c>
      <c r="G65" s="7"/>
      <c r="H65" s="7"/>
      <c r="I65" s="10"/>
      <c r="J65" s="9">
        <v>0</v>
      </c>
      <c r="K65">
        <f>IF(C70="Normal",J70,0)</f>
        <v>0</v>
      </c>
      <c r="L65">
        <f>IF(C70="Surplus",J70,0)</f>
        <v>0</v>
      </c>
      <c r="M65" s="16">
        <f>IF(B70="Total",J70,0)</f>
        <v>0</v>
      </c>
    </row>
    <row r="66" spans="2:13" x14ac:dyDescent="0.2">
      <c r="B66" s="15" t="s">
        <v>35</v>
      </c>
      <c r="C66" s="15" t="s">
        <v>63</v>
      </c>
      <c r="D66" s="8">
        <v>500</v>
      </c>
      <c r="E66" s="15">
        <v>4</v>
      </c>
      <c r="F66" s="8">
        <f>D66*E66</f>
        <v>2000</v>
      </c>
      <c r="G66" s="7"/>
      <c r="H66" s="7"/>
      <c r="I66" s="10"/>
      <c r="J66" s="9">
        <v>0</v>
      </c>
      <c r="K66">
        <f>IF(C71="Normal",J71,0)</f>
        <v>0</v>
      </c>
      <c r="L66">
        <f>IF(C71="Surplus",J71,0)</f>
        <v>0</v>
      </c>
      <c r="M66" s="16" t="e">
        <f>IF(#REF!="Total",J71,0)</f>
        <v>#REF!</v>
      </c>
    </row>
    <row r="67" spans="2:13" x14ac:dyDescent="0.2">
      <c r="B67" s="61" t="s">
        <v>98</v>
      </c>
      <c r="C67" s="61" t="s">
        <v>28</v>
      </c>
      <c r="D67" s="62">
        <v>320</v>
      </c>
      <c r="E67" s="61">
        <v>1</v>
      </c>
      <c r="F67" s="62">
        <v>320</v>
      </c>
      <c r="G67" s="58"/>
      <c r="H67" s="58"/>
      <c r="I67" s="63"/>
      <c r="J67" s="64">
        <v>0</v>
      </c>
      <c r="K67">
        <f>IF(C72="Normal",J72,0)</f>
        <v>0</v>
      </c>
      <c r="L67">
        <f>IF(C72="Surplus",J72,0)</f>
        <v>0</v>
      </c>
      <c r="M67" s="16">
        <f>IF(B72="Total",J72,0)</f>
        <v>0</v>
      </c>
    </row>
    <row r="68" spans="2:13" x14ac:dyDescent="0.2">
      <c r="B68" s="24" t="s">
        <v>16</v>
      </c>
      <c r="C68" s="15" t="s">
        <v>29</v>
      </c>
      <c r="D68" s="41">
        <v>500</v>
      </c>
      <c r="E68" s="44" t="s">
        <v>59</v>
      </c>
      <c r="F68" s="41">
        <v>500</v>
      </c>
      <c r="G68" s="7" t="e">
        <f>IF(#REF!="Normal",#REF!,0)</f>
        <v>#REF!</v>
      </c>
      <c r="H68" s="7" t="e">
        <f>IF(#REF!="Surplus",#REF!,0)</f>
        <v>#REF!</v>
      </c>
      <c r="I68" s="10">
        <f>IF(B92="Total",#REF!,0)</f>
        <v>0</v>
      </c>
      <c r="J68" s="9">
        <f>-'Transaction Journal'!D23-'Transaction Journal'!D28-'Transaction Journal'!D29-'Transaction Journal'!D32-'Transaction Journal'!D33-'Transaction Journal'!D34-'Transaction Journal'!D35-'Transaction Journal'!D36-'Transaction Journal'!D40-'Transaction Journal'!D52</f>
        <v>-107.56000000000002</v>
      </c>
      <c r="K68">
        <f>IF(C73="Normal",J73,0)</f>
        <v>0</v>
      </c>
      <c r="L68">
        <f>IF(C73="Surplus",J73,0)</f>
        <v>0</v>
      </c>
      <c r="M68" s="16">
        <f>IF(B73="Total",J73,0)</f>
        <v>0</v>
      </c>
    </row>
    <row r="69" spans="2:13" x14ac:dyDescent="0.2">
      <c r="B69" s="17" t="s">
        <v>4</v>
      </c>
      <c r="C69" s="17"/>
      <c r="D69" s="17"/>
      <c r="E69" s="17"/>
      <c r="F69" s="22">
        <f t="shared" ref="F69:I69" si="14">SUM(F64:F68)</f>
        <v>5820</v>
      </c>
      <c r="G69" s="22" t="e">
        <f t="shared" si="14"/>
        <v>#REF!</v>
      </c>
      <c r="H69" s="22" t="e">
        <f t="shared" si="14"/>
        <v>#REF!</v>
      </c>
      <c r="I69" s="22" t="e">
        <f t="shared" si="14"/>
        <v>#REF!</v>
      </c>
      <c r="J69" s="13">
        <f>SUM(J64:J68)</f>
        <v>-107.56000000000002</v>
      </c>
      <c r="K69">
        <f>IF(C74="Normal",J74,0)</f>
        <v>0</v>
      </c>
      <c r="L69">
        <f>IF(C74="Surplus",J74,0)</f>
        <v>0</v>
      </c>
      <c r="M69" s="16">
        <f>IF(B74="Total",J74,0)</f>
        <v>0</v>
      </c>
    </row>
    <row r="70" spans="2:13" x14ac:dyDescent="0.2">
      <c r="B70" s="49" t="s">
        <v>17</v>
      </c>
      <c r="C70" s="49"/>
      <c r="D70" s="49"/>
      <c r="E70" s="49"/>
      <c r="F70" s="49"/>
      <c r="G70" s="7">
        <f t="shared" si="1"/>
        <v>0</v>
      </c>
      <c r="H70" s="7">
        <f t="shared" si="2"/>
        <v>0</v>
      </c>
      <c r="I70" s="10">
        <f t="shared" si="6"/>
        <v>0</v>
      </c>
      <c r="J70" s="49"/>
      <c r="K70" t="e">
        <f>IF(#REF!="Normal",#REF!,0)</f>
        <v>#REF!</v>
      </c>
      <c r="L70" t="e">
        <f>IF(#REF!="Surplus",#REF!,0)</f>
        <v>#REF!</v>
      </c>
      <c r="M70" s="16" t="e">
        <f>IF(#REF!="Total",#REF!,0)</f>
        <v>#REF!</v>
      </c>
    </row>
    <row r="71" spans="2:13" x14ac:dyDescent="0.2">
      <c r="B71" s="24" t="s">
        <v>18</v>
      </c>
      <c r="C71" s="15" t="s">
        <v>32</v>
      </c>
      <c r="D71" s="8">
        <v>1500</v>
      </c>
      <c r="E71" s="46" t="s">
        <v>58</v>
      </c>
      <c r="F71" s="8">
        <v>1500</v>
      </c>
      <c r="G71" s="7">
        <f>IF(C71="Normal",F71,0)</f>
        <v>0</v>
      </c>
      <c r="H71" s="7">
        <f>IF(C71="Surplus",F71,0)</f>
        <v>0</v>
      </c>
      <c r="I71" s="10" t="e">
        <f>IF(#REF!="Total",F71,0)</f>
        <v>#REF!</v>
      </c>
      <c r="J71" s="9">
        <v>0</v>
      </c>
      <c r="K71">
        <f>IF(C75="Normal",J75,0)</f>
        <v>0</v>
      </c>
      <c r="L71">
        <f>IF(C75="Surplus",J75,0)</f>
        <v>0</v>
      </c>
      <c r="M71" s="16">
        <f>IF(B75="Total",J75,0)</f>
        <v>0</v>
      </c>
    </row>
    <row r="72" spans="2:13" x14ac:dyDescent="0.2">
      <c r="B72" s="17" t="s">
        <v>4</v>
      </c>
      <c r="C72" s="17"/>
      <c r="D72" s="17"/>
      <c r="E72" s="17"/>
      <c r="F72" s="18">
        <f>F71</f>
        <v>1500</v>
      </c>
      <c r="G72" s="18">
        <f t="shared" ref="G72:I72" si="15">G71</f>
        <v>0</v>
      </c>
      <c r="H72" s="18">
        <f t="shared" si="15"/>
        <v>0</v>
      </c>
      <c r="I72" s="18" t="e">
        <f t="shared" si="15"/>
        <v>#REF!</v>
      </c>
      <c r="J72" s="13">
        <f>J71</f>
        <v>0</v>
      </c>
      <c r="M72" s="16"/>
    </row>
    <row r="73" spans="2:13" x14ac:dyDescent="0.2">
      <c r="B73" s="49" t="s">
        <v>19</v>
      </c>
      <c r="C73" s="49"/>
      <c r="D73" s="49"/>
      <c r="E73" s="49"/>
      <c r="F73" s="49"/>
      <c r="G73" s="7">
        <f t="shared" si="1"/>
        <v>0</v>
      </c>
      <c r="H73" s="7">
        <f t="shared" si="2"/>
        <v>0</v>
      </c>
      <c r="I73" s="10">
        <f t="shared" si="6"/>
        <v>0</v>
      </c>
      <c r="J73" s="49"/>
      <c r="M73" s="16"/>
    </row>
    <row r="74" spans="2:13" x14ac:dyDescent="0.2">
      <c r="B74" s="26" t="s">
        <v>54</v>
      </c>
      <c r="C74" s="26" t="s">
        <v>26</v>
      </c>
      <c r="D74" s="8">
        <v>1400</v>
      </c>
      <c r="E74" s="45">
        <v>6</v>
      </c>
      <c r="F74" s="27">
        <f>D74*E74</f>
        <v>8400</v>
      </c>
      <c r="G74" s="7">
        <f t="shared" si="1"/>
        <v>0</v>
      </c>
      <c r="H74" s="7">
        <f t="shared" si="2"/>
        <v>0</v>
      </c>
      <c r="I74" s="10">
        <f t="shared" si="6"/>
        <v>0</v>
      </c>
      <c r="J74" s="28">
        <f>-'Transaction Journal'!D38-'Transaction Journal'!D39-'Transaction Journal'!D41-'Transaction Journal'!D42-'Transaction Journal'!D43-'Transaction Journal'!D44-'Transaction Journal'!D45-'Transaction Journal'!D46-'Transaction Journal'!D47-'Transaction Journal'!D53</f>
        <v>4436.1000000000004</v>
      </c>
      <c r="M74" s="16"/>
    </row>
    <row r="75" spans="2:13" x14ac:dyDescent="0.2">
      <c r="B75" s="26" t="s">
        <v>20</v>
      </c>
      <c r="C75" s="26" t="s">
        <v>28</v>
      </c>
      <c r="D75" s="8">
        <v>3500</v>
      </c>
      <c r="E75" s="45">
        <v>1</v>
      </c>
      <c r="F75" s="27">
        <f t="shared" ref="F75:F78" si="16">D75*E75</f>
        <v>3500</v>
      </c>
      <c r="G75" s="7">
        <f t="shared" si="1"/>
        <v>0</v>
      </c>
      <c r="H75" s="7">
        <f t="shared" si="2"/>
        <v>0</v>
      </c>
      <c r="I75" s="10">
        <f t="shared" si="6"/>
        <v>0</v>
      </c>
      <c r="J75" s="28">
        <v>0</v>
      </c>
      <c r="M75" s="16"/>
    </row>
    <row r="76" spans="2:13" x14ac:dyDescent="0.2">
      <c r="B76" s="26" t="s">
        <v>55</v>
      </c>
      <c r="C76" s="26" t="s">
        <v>28</v>
      </c>
      <c r="D76" s="8">
        <v>1500</v>
      </c>
      <c r="E76" s="45">
        <v>1</v>
      </c>
      <c r="F76" s="27">
        <f t="shared" si="16"/>
        <v>1500</v>
      </c>
      <c r="G76" s="7">
        <f t="shared" si="1"/>
        <v>0</v>
      </c>
      <c r="H76" s="7">
        <f t="shared" si="2"/>
        <v>0</v>
      </c>
      <c r="I76" s="10">
        <f t="shared" si="6"/>
        <v>0</v>
      </c>
      <c r="J76" s="28">
        <v>0</v>
      </c>
      <c r="M76" s="16"/>
    </row>
    <row r="77" spans="2:13" x14ac:dyDescent="0.2">
      <c r="B77" s="67" t="s">
        <v>101</v>
      </c>
      <c r="C77" s="67" t="s">
        <v>32</v>
      </c>
      <c r="D77" s="62">
        <v>2000</v>
      </c>
      <c r="E77" s="68">
        <v>1</v>
      </c>
      <c r="F77" s="27">
        <f t="shared" si="16"/>
        <v>2000</v>
      </c>
      <c r="G77" s="58">
        <f t="shared" ref="G77:G96" si="17">IF(C77="Normal",F77,0)</f>
        <v>0</v>
      </c>
      <c r="H77" s="58">
        <f t="shared" ref="H77:H96" si="18">IF(C77="Surplus",F77,0)</f>
        <v>0</v>
      </c>
      <c r="I77" s="63">
        <f t="shared" si="6"/>
        <v>0</v>
      </c>
      <c r="J77" s="69">
        <v>0</v>
      </c>
      <c r="K77">
        <f>IF(C80="Normal",J80,0)</f>
        <v>0</v>
      </c>
      <c r="L77">
        <f>IF(C80="Surplus",J80,0)</f>
        <v>0</v>
      </c>
      <c r="M77" s="16">
        <f>IF(B80="Total",J80,0)</f>
        <v>4436.1000000000004</v>
      </c>
    </row>
    <row r="78" spans="2:13" x14ac:dyDescent="0.2">
      <c r="B78" s="26" t="s">
        <v>56</v>
      </c>
      <c r="C78" s="26" t="s">
        <v>32</v>
      </c>
      <c r="D78" s="8">
        <v>5300</v>
      </c>
      <c r="E78" s="45">
        <v>1</v>
      </c>
      <c r="F78" s="27">
        <f t="shared" si="16"/>
        <v>5300</v>
      </c>
      <c r="G78" s="7">
        <f>IF(C78="Normal",F78,0)</f>
        <v>0</v>
      </c>
      <c r="H78" s="7">
        <f>IF(C78="Surplus",F78,0)</f>
        <v>0</v>
      </c>
      <c r="I78" s="10">
        <f>IF(B78="Total",F78,0)</f>
        <v>0</v>
      </c>
      <c r="J78" s="28">
        <v>0</v>
      </c>
      <c r="M78" s="16"/>
    </row>
    <row r="79" spans="2:13" x14ac:dyDescent="0.2">
      <c r="B79" s="26" t="s">
        <v>57</v>
      </c>
      <c r="C79" s="26" t="s">
        <v>29</v>
      </c>
      <c r="D79" s="8">
        <v>1000</v>
      </c>
      <c r="E79" s="44" t="s">
        <v>59</v>
      </c>
      <c r="F79" s="27">
        <f>D79</f>
        <v>1000</v>
      </c>
      <c r="G79" s="7">
        <f>IF(C79="Normal",F79,0)</f>
        <v>0</v>
      </c>
      <c r="H79" s="7">
        <f>IF(C79="Surplus",F79,0)</f>
        <v>0</v>
      </c>
      <c r="I79" s="10">
        <f>IF(B79="Total",F79,0)</f>
        <v>0</v>
      </c>
      <c r="J79" s="28">
        <v>0</v>
      </c>
      <c r="M79" s="16"/>
    </row>
    <row r="80" spans="2:13" x14ac:dyDescent="0.2">
      <c r="B80" s="29" t="s">
        <v>4</v>
      </c>
      <c r="C80" s="29"/>
      <c r="D80" s="29"/>
      <c r="E80" s="29"/>
      <c r="F80" s="30">
        <f>SUM(F74:F79)</f>
        <v>21700</v>
      </c>
      <c r="G80" s="30">
        <f>SUM(G74:G79)</f>
        <v>0</v>
      </c>
      <c r="H80" s="30">
        <f>SUM(H74:H79)</f>
        <v>0</v>
      </c>
      <c r="I80" s="30">
        <f>SUM(I74:I79)</f>
        <v>0</v>
      </c>
      <c r="J80" s="9">
        <f>SUM(J74:J79)</f>
        <v>4436.1000000000004</v>
      </c>
      <c r="M80" s="16"/>
    </row>
    <row r="81" spans="2:14" x14ac:dyDescent="0.2">
      <c r="B81" s="49" t="s">
        <v>21</v>
      </c>
      <c r="C81" s="49"/>
      <c r="D81" s="49"/>
      <c r="E81" s="49"/>
      <c r="F81" s="49"/>
      <c r="G81" s="7">
        <f t="shared" si="17"/>
        <v>0</v>
      </c>
      <c r="H81" s="7">
        <f>IF(C81="Surplus",F81,0)</f>
        <v>0</v>
      </c>
      <c r="I81" s="10">
        <f t="shared" ref="I81:I96" si="19">IF(B81="Total",F81,0)</f>
        <v>0</v>
      </c>
      <c r="J81" s="49"/>
      <c r="K81">
        <f>IF(C84="Normal",J84,0)</f>
        <v>0</v>
      </c>
      <c r="L81">
        <f>IF(C84="Surplus",J84,0)</f>
        <v>0</v>
      </c>
      <c r="M81" s="16">
        <f>IF(B84="Total",J84,0)</f>
        <v>0</v>
      </c>
    </row>
    <row r="82" spans="2:14" x14ac:dyDescent="0.2">
      <c r="B82" s="15" t="s">
        <v>124</v>
      </c>
      <c r="C82" s="15" t="s">
        <v>26</v>
      </c>
      <c r="D82" s="8">
        <v>300</v>
      </c>
      <c r="E82" s="15">
        <v>1</v>
      </c>
      <c r="F82" s="41">
        <f>D82*E82</f>
        <v>300</v>
      </c>
      <c r="G82" s="7"/>
      <c r="H82" s="7"/>
      <c r="I82" s="10"/>
      <c r="J82" s="9">
        <v>0</v>
      </c>
      <c r="M82" s="16"/>
      <c r="N82" s="16"/>
    </row>
    <row r="83" spans="2:14" x14ac:dyDescent="0.2">
      <c r="B83" s="15" t="s">
        <v>125</v>
      </c>
      <c r="C83" s="26" t="s">
        <v>29</v>
      </c>
      <c r="D83" s="8">
        <v>50</v>
      </c>
      <c r="E83" s="15">
        <v>4</v>
      </c>
      <c r="F83" s="41">
        <f>D83*E83</f>
        <v>200</v>
      </c>
      <c r="G83" s="7"/>
      <c r="H83" s="7"/>
      <c r="I83" s="10"/>
      <c r="J83" s="9">
        <v>0</v>
      </c>
      <c r="K83">
        <f>IF(C88="Normal",J88,0)</f>
        <v>0</v>
      </c>
      <c r="L83">
        <f>IF(C88="Surplus",J88,0)</f>
        <v>0</v>
      </c>
      <c r="M83" s="16">
        <f>IF(B88="Total",J88,0)</f>
        <v>0</v>
      </c>
    </row>
    <row r="84" spans="2:14" x14ac:dyDescent="0.2">
      <c r="B84" s="17" t="s">
        <v>4</v>
      </c>
      <c r="C84" s="17"/>
      <c r="D84" s="17"/>
      <c r="E84" s="17"/>
      <c r="F84" s="18">
        <v>500</v>
      </c>
      <c r="G84" s="18">
        <f>SUM(G82:G83)</f>
        <v>0</v>
      </c>
      <c r="H84" s="18">
        <f>SUM(H82:H83)</f>
        <v>0</v>
      </c>
      <c r="I84" s="18">
        <f>SUM(I82:I83)</f>
        <v>0</v>
      </c>
      <c r="J84" s="9">
        <f>SUM(J82:J83)</f>
        <v>0</v>
      </c>
      <c r="M84" s="16"/>
    </row>
    <row r="85" spans="2:14" x14ac:dyDescent="0.2">
      <c r="B85" s="49" t="s">
        <v>22</v>
      </c>
      <c r="C85" s="49"/>
      <c r="D85" s="49"/>
      <c r="E85" s="49"/>
      <c r="F85" s="49"/>
      <c r="G85" s="7">
        <f t="shared" si="17"/>
        <v>0</v>
      </c>
      <c r="H85" s="7">
        <f t="shared" si="18"/>
        <v>0</v>
      </c>
      <c r="I85" s="10">
        <f t="shared" si="19"/>
        <v>0</v>
      </c>
      <c r="J85" s="49"/>
      <c r="K85">
        <f>IF(C90="Normal",J90,0)</f>
        <v>0</v>
      </c>
      <c r="L85">
        <f>IF(C90="Surplus",J90,0)</f>
        <v>0</v>
      </c>
      <c r="M85" s="16">
        <f>IF(B90="Total",J90,0)</f>
        <v>-74.150000000000006</v>
      </c>
    </row>
    <row r="86" spans="2:14" x14ac:dyDescent="0.2">
      <c r="B86" s="24" t="s">
        <v>37</v>
      </c>
      <c r="C86" s="24" t="s">
        <v>26</v>
      </c>
      <c r="D86" s="25">
        <v>250</v>
      </c>
      <c r="E86" s="24">
        <v>1</v>
      </c>
      <c r="F86" s="25">
        <f>D86*E86</f>
        <v>250</v>
      </c>
      <c r="G86" s="7">
        <f t="shared" si="17"/>
        <v>0</v>
      </c>
      <c r="H86" s="7">
        <f t="shared" si="18"/>
        <v>0</v>
      </c>
      <c r="I86" s="10">
        <f t="shared" si="19"/>
        <v>0</v>
      </c>
      <c r="J86" s="9">
        <v>0</v>
      </c>
      <c r="K86">
        <f>IF(C91="Normal",J91,0)</f>
        <v>0</v>
      </c>
      <c r="L86">
        <f>IF(C91="Surplus",J91,0)</f>
        <v>0</v>
      </c>
      <c r="M86" s="16">
        <f>IF(B91="Total",J91,0)</f>
        <v>0</v>
      </c>
    </row>
    <row r="87" spans="2:14" x14ac:dyDescent="0.2">
      <c r="B87" s="15" t="s">
        <v>23</v>
      </c>
      <c r="C87" s="24" t="s">
        <v>62</v>
      </c>
      <c r="D87" s="25">
        <v>2500</v>
      </c>
      <c r="E87" s="44" t="s">
        <v>53</v>
      </c>
      <c r="F87" s="25">
        <f>D87</f>
        <v>2500</v>
      </c>
      <c r="G87" s="7"/>
      <c r="H87" s="7"/>
      <c r="I87" s="10"/>
      <c r="J87" s="9">
        <f>-'Transaction Journal'!D30</f>
        <v>-74.150000000000006</v>
      </c>
      <c r="K87">
        <f>IF(C64="Normal",J92,0)</f>
        <v>0</v>
      </c>
      <c r="L87">
        <f>IF(C64="Surplus",J92,0)</f>
        <v>0</v>
      </c>
      <c r="M87" s="16">
        <f>IF(B64="Total",J92,0)</f>
        <v>0</v>
      </c>
    </row>
    <row r="88" spans="2:14" x14ac:dyDescent="0.2">
      <c r="B88" s="15" t="s">
        <v>23</v>
      </c>
      <c r="C88" s="15" t="s">
        <v>63</v>
      </c>
      <c r="D88" s="8">
        <v>2500</v>
      </c>
      <c r="E88" s="44" t="s">
        <v>53</v>
      </c>
      <c r="F88" s="25">
        <f>D88</f>
        <v>2500</v>
      </c>
      <c r="G88" s="7">
        <f t="shared" si="17"/>
        <v>0</v>
      </c>
      <c r="H88" s="7">
        <f t="shared" si="18"/>
        <v>0</v>
      </c>
      <c r="I88" s="10">
        <f t="shared" si="19"/>
        <v>0</v>
      </c>
      <c r="J88" s="9">
        <v>0</v>
      </c>
      <c r="K88">
        <f>IF(C93="Normal",J93,0)</f>
        <v>0</v>
      </c>
      <c r="L88">
        <f>IF(C93="Surplus",J93,0)</f>
        <v>0</v>
      </c>
      <c r="M88" s="16">
        <f>IF(B93="Total",J93,0)</f>
        <v>0</v>
      </c>
    </row>
    <row r="89" spans="2:14" x14ac:dyDescent="0.2">
      <c r="B89" s="15" t="s">
        <v>38</v>
      </c>
      <c r="C89" s="15" t="s">
        <v>29</v>
      </c>
      <c r="D89" s="8">
        <v>250</v>
      </c>
      <c r="E89" s="44" t="s">
        <v>53</v>
      </c>
      <c r="F89" s="25">
        <f>D89</f>
        <v>250</v>
      </c>
      <c r="G89" s="7"/>
      <c r="H89" s="7"/>
      <c r="I89" s="10"/>
      <c r="J89" s="9">
        <v>0</v>
      </c>
      <c r="K89" s="18">
        <f t="shared" ref="K89:M89" si="20">SUM(K88)</f>
        <v>0</v>
      </c>
      <c r="L89" s="18">
        <f t="shared" si="20"/>
        <v>0</v>
      </c>
      <c r="M89" s="18">
        <f t="shared" si="20"/>
        <v>0</v>
      </c>
    </row>
    <row r="90" spans="2:14" x14ac:dyDescent="0.2">
      <c r="B90" s="17" t="s">
        <v>4</v>
      </c>
      <c r="C90" s="17"/>
      <c r="D90" s="17"/>
      <c r="E90" s="17"/>
      <c r="F90" s="18">
        <f>SUM(F86:F89)</f>
        <v>5500</v>
      </c>
      <c r="G90" s="18">
        <f t="shared" ref="G90:I90" si="21">SUM(G86:G89)</f>
        <v>0</v>
      </c>
      <c r="H90" s="18">
        <f t="shared" si="21"/>
        <v>0</v>
      </c>
      <c r="I90" s="18">
        <f t="shared" si="21"/>
        <v>0</v>
      </c>
      <c r="J90" s="9">
        <f>SUM(J86:J89)</f>
        <v>-74.150000000000006</v>
      </c>
      <c r="K90">
        <f>IF(C96="Normal",J96,0)</f>
        <v>0</v>
      </c>
      <c r="L90">
        <f>IF(C96="Surplus",J96,0)</f>
        <v>0</v>
      </c>
      <c r="M90" s="16">
        <f>IF(B96="Total",J96,0)</f>
        <v>0</v>
      </c>
    </row>
    <row r="91" spans="2:14" x14ac:dyDescent="0.2">
      <c r="B91" s="49" t="s">
        <v>24</v>
      </c>
      <c r="C91" s="49"/>
      <c r="D91" s="49"/>
      <c r="E91" s="49"/>
      <c r="F91" s="49"/>
      <c r="G91" s="7">
        <f t="shared" si="17"/>
        <v>0</v>
      </c>
      <c r="H91" s="7">
        <f t="shared" si="18"/>
        <v>0</v>
      </c>
      <c r="I91" s="10">
        <f t="shared" si="19"/>
        <v>0</v>
      </c>
      <c r="J91" s="49"/>
      <c r="K91" t="e">
        <f>IF(#REF!="Normal",#REF!,0)</f>
        <v>#REF!</v>
      </c>
      <c r="L91" t="e">
        <f>IF(#REF!="Surplus",#REF!,0)</f>
        <v>#REF!</v>
      </c>
      <c r="M91" s="16" t="e">
        <f>IF(#REF!="Total",#REF!,0)</f>
        <v>#REF!</v>
      </c>
    </row>
    <row r="92" spans="2:14" x14ac:dyDescent="0.2">
      <c r="B92" s="15" t="s">
        <v>64</v>
      </c>
      <c r="C92" s="15" t="s">
        <v>26</v>
      </c>
      <c r="D92" s="8">
        <v>3000</v>
      </c>
      <c r="E92" s="15">
        <v>1</v>
      </c>
      <c r="F92" s="8">
        <v>3000</v>
      </c>
      <c r="G92" s="7">
        <f>IF(C64="Normal",F64,0)</f>
        <v>0</v>
      </c>
      <c r="H92" s="7">
        <f>IF(C64="Surplus",F64,0)</f>
        <v>0</v>
      </c>
      <c r="I92" s="10">
        <f>IF(B64="Total",F64,0)</f>
        <v>0</v>
      </c>
      <c r="J92" s="9">
        <v>0</v>
      </c>
      <c r="K92">
        <f>IF(C97="Normal",J97,0)</f>
        <v>0</v>
      </c>
      <c r="L92">
        <f>IF(C97="Surplus",J97,0)</f>
        <v>0</v>
      </c>
      <c r="M92" s="16">
        <f>IF(B97="Total",J97,0)</f>
        <v>0</v>
      </c>
    </row>
    <row r="93" spans="2:14" x14ac:dyDescent="0.2">
      <c r="B93" s="15" t="s">
        <v>36</v>
      </c>
      <c r="C93" s="15" t="s">
        <v>32</v>
      </c>
      <c r="D93" s="8">
        <v>2000</v>
      </c>
      <c r="E93" s="46" t="s">
        <v>58</v>
      </c>
      <c r="F93" s="8">
        <v>2000</v>
      </c>
      <c r="G93" s="7">
        <f t="shared" si="17"/>
        <v>0</v>
      </c>
      <c r="H93" s="7">
        <f t="shared" si="18"/>
        <v>0</v>
      </c>
      <c r="I93" s="10">
        <f t="shared" si="19"/>
        <v>0</v>
      </c>
      <c r="J93" s="9">
        <v>0</v>
      </c>
    </row>
    <row r="94" spans="2:14" x14ac:dyDescent="0.2">
      <c r="B94" s="61" t="s">
        <v>149</v>
      </c>
      <c r="C94" s="15" t="s">
        <v>29</v>
      </c>
      <c r="D94" s="62">
        <v>1000</v>
      </c>
      <c r="E94" s="44" t="s">
        <v>53</v>
      </c>
      <c r="F94" s="62">
        <v>1000</v>
      </c>
      <c r="G94" s="58"/>
      <c r="H94" s="58"/>
      <c r="I94" s="63"/>
      <c r="J94" s="64">
        <v>0</v>
      </c>
    </row>
    <row r="95" spans="2:14" x14ac:dyDescent="0.2">
      <c r="B95" s="17" t="s">
        <v>4</v>
      </c>
      <c r="C95" s="17"/>
      <c r="D95" s="17"/>
      <c r="E95" s="17"/>
      <c r="F95" s="18">
        <f>SUM(F92:F94)</f>
        <v>6000</v>
      </c>
      <c r="G95" s="18">
        <f>SUM(G93)</f>
        <v>0</v>
      </c>
      <c r="H95" s="18">
        <f>SUM(H93)</f>
        <v>0</v>
      </c>
      <c r="I95" s="18">
        <f>SUM(I93)</f>
        <v>0</v>
      </c>
      <c r="J95" s="9">
        <f>SUM(J92:M94)</f>
        <v>0</v>
      </c>
    </row>
    <row r="96" spans="2:14" x14ac:dyDescent="0.2">
      <c r="B96" s="32"/>
      <c r="C96" s="32"/>
      <c r="D96" s="32"/>
      <c r="E96" s="32"/>
      <c r="F96" s="33"/>
      <c r="G96">
        <f t="shared" si="17"/>
        <v>0</v>
      </c>
      <c r="H96">
        <f t="shared" si="18"/>
        <v>0</v>
      </c>
      <c r="I96" s="16">
        <f t="shared" si="19"/>
        <v>0</v>
      </c>
      <c r="J96" s="33"/>
    </row>
    <row r="97" spans="2:12" x14ac:dyDescent="0.2">
      <c r="B97" s="34" t="s">
        <v>25</v>
      </c>
      <c r="C97" s="34"/>
      <c r="D97" s="34"/>
      <c r="E97" s="34"/>
      <c r="F97" s="42">
        <f>F15+F21+F25+F40+F45+F48+F58+F62+F69+F72+F80+F84+F90+F95</f>
        <v>77500</v>
      </c>
      <c r="G97" s="42" t="e">
        <f>G15+G21+G25+G40+G45+G48+G58+G62+G69+G72+G80+G84+G90+G95</f>
        <v>#REF!</v>
      </c>
      <c r="H97" s="42" t="e">
        <f>H15+H21+H25+H40+H45+H48+H58+H62+H69+H72+H80+H84+H90+H95</f>
        <v>#REF!</v>
      </c>
      <c r="I97" s="42" t="e">
        <f>I15+I21+I25+I40+I45+I48+I58+I62+I69+I72+I80+I84+I90+I95</f>
        <v>#REF!</v>
      </c>
      <c r="J97" s="42">
        <f>J15+J21+J25+J40+J45+J48+J58+J62+J69+J72+J80+J84+J90+J95</f>
        <v>5021.2300000000005</v>
      </c>
    </row>
    <row r="98" spans="2:12" x14ac:dyDescent="0.2">
      <c r="G98">
        <f>IF(C97="Normal",F98,0)</f>
        <v>0</v>
      </c>
      <c r="H98">
        <f>IF(C97="Surplus",F98,0)</f>
        <v>0</v>
      </c>
      <c r="I98" s="16">
        <f>IF(B97="Total",F98,0)</f>
        <v>0</v>
      </c>
    </row>
    <row r="99" spans="2:12" x14ac:dyDescent="0.2">
      <c r="B99" s="36" t="s">
        <v>60</v>
      </c>
      <c r="C99" s="36"/>
      <c r="D99" s="36"/>
      <c r="E99" s="36"/>
      <c r="F99" s="37">
        <f>F8-F97</f>
        <v>43922.83</v>
      </c>
      <c r="G99" s="37" t="e">
        <f>G8-G97</f>
        <v>#REF!</v>
      </c>
      <c r="H99" s="37" t="e">
        <f>H8-H97</f>
        <v>#REF!</v>
      </c>
      <c r="I99" s="37" t="e">
        <f>I8-I97</f>
        <v>#REF!</v>
      </c>
      <c r="J99" s="37">
        <f>J8-J97</f>
        <v>116094.44</v>
      </c>
    </row>
    <row r="100" spans="2:12" x14ac:dyDescent="0.2">
      <c r="B100" s="38"/>
      <c r="C100" s="38"/>
      <c r="D100" s="38"/>
      <c r="E100" s="38"/>
      <c r="J100" s="39"/>
    </row>
    <row r="101" spans="2:12" x14ac:dyDescent="0.2">
      <c r="J101" s="39"/>
      <c r="K101" s="16"/>
    </row>
    <row r="102" spans="2:12" x14ac:dyDescent="0.2">
      <c r="J102" s="39"/>
      <c r="K102" s="1"/>
    </row>
    <row r="103" spans="2:12" x14ac:dyDescent="0.2">
      <c r="F103" s="72"/>
      <c r="J103" s="39"/>
      <c r="L103" s="39"/>
    </row>
    <row r="104" spans="2:12" x14ac:dyDescent="0.2">
      <c r="J104" s="39"/>
    </row>
    <row r="105" spans="2:12" x14ac:dyDescent="0.2">
      <c r="F105" s="39"/>
      <c r="J105" s="39"/>
    </row>
    <row r="106" spans="2:12" x14ac:dyDescent="0.2">
      <c r="J106" s="16"/>
    </row>
    <row r="107" spans="2:12" x14ac:dyDescent="0.2">
      <c r="J107" s="72"/>
    </row>
    <row r="109" spans="2:12" x14ac:dyDescent="0.2">
      <c r="J109" s="39"/>
    </row>
  </sheetData>
  <printOptions horizontalCentered="1" verticalCentered="1"/>
  <pageMargins left="0.25" right="0.25" top="0.75" bottom="0.75" header="0.3" footer="0.3"/>
  <pageSetup scale="4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workbookViewId="0">
      <selection activeCell="A8" sqref="A8"/>
    </sheetView>
  </sheetViews>
  <sheetFormatPr defaultRowHeight="12.75" x14ac:dyDescent="0.2"/>
  <cols>
    <col min="1" max="1" width="32.75" bestFit="1" customWidth="1"/>
    <col min="2" max="2" width="23.375" bestFit="1" customWidth="1"/>
    <col min="3" max="3" width="14" bestFit="1" customWidth="1"/>
    <col min="4" max="4" width="9.125" bestFit="1" customWidth="1"/>
    <col min="5" max="5" width="5.875" customWidth="1"/>
    <col min="6" max="6" width="4.875" customWidth="1"/>
    <col min="7" max="7" width="7" customWidth="1"/>
    <col min="8" max="8" width="4.875" customWidth="1"/>
    <col min="9" max="11" width="8.125" customWidth="1"/>
    <col min="12" max="12" width="4.875" customWidth="1"/>
    <col min="13" max="15" width="8.125" customWidth="1"/>
    <col min="16" max="16" width="7" customWidth="1"/>
    <col min="17" max="18" width="4.875" customWidth="1"/>
    <col min="19" max="19" width="7" customWidth="1"/>
    <col min="20" max="20" width="8.125" customWidth="1"/>
    <col min="21" max="22" width="4.875" customWidth="1"/>
    <col min="23" max="23" width="8.125" customWidth="1"/>
    <col min="24" max="24" width="7" customWidth="1"/>
    <col min="25" max="25" width="8.125" customWidth="1"/>
    <col min="26" max="26" width="4.875" customWidth="1"/>
    <col min="27" max="28" width="8.125" customWidth="1"/>
    <col min="29" max="30" width="4.875" customWidth="1"/>
    <col min="31" max="34" width="8.125" customWidth="1"/>
    <col min="35" max="35" width="4.875" customWidth="1"/>
    <col min="36" max="36" width="8.125" customWidth="1"/>
    <col min="37" max="37" width="4.875" customWidth="1"/>
    <col min="38" max="39" width="7" customWidth="1"/>
    <col min="40" max="40" width="3.75" customWidth="1"/>
    <col min="41" max="41" width="5.875" customWidth="1"/>
    <col min="42" max="44" width="7" customWidth="1"/>
    <col min="45" max="45" width="5.875" customWidth="1"/>
    <col min="46" max="46" width="7" customWidth="1"/>
    <col min="47" max="48" width="5.875" customWidth="1"/>
    <col min="49" max="50" width="7" customWidth="1"/>
    <col min="51" max="51" width="5.125" customWidth="1"/>
    <col min="52" max="52" width="7.375" customWidth="1"/>
    <col min="53" max="53" width="4.125" customWidth="1"/>
    <col min="54" max="54" width="7.375" customWidth="1"/>
    <col min="55" max="55" width="4.125" customWidth="1"/>
    <col min="56" max="56" width="9.5" bestFit="1" customWidth="1"/>
    <col min="57" max="57" width="6.25" customWidth="1"/>
    <col min="58" max="58" width="7.125" customWidth="1"/>
    <col min="59" max="59" width="11" bestFit="1" customWidth="1"/>
  </cols>
  <sheetData>
    <row r="2" spans="1:4" x14ac:dyDescent="0.2">
      <c r="A2" s="57" t="s">
        <v>94</v>
      </c>
      <c r="B2" s="58" t="s">
        <v>97</v>
      </c>
      <c r="C2" s="65" t="s">
        <v>99</v>
      </c>
      <c r="D2" s="65" t="s">
        <v>100</v>
      </c>
    </row>
    <row r="3" spans="1:4" x14ac:dyDescent="0.2">
      <c r="A3" s="59" t="s">
        <v>73</v>
      </c>
      <c r="B3" s="60">
        <v>47822.83</v>
      </c>
      <c r="C3" s="60">
        <f>'Accounting Budget'!F5</f>
        <v>47822.83</v>
      </c>
      <c r="D3" s="66">
        <f>GETPIVOTDATA("Debit - /Credit +",$A$2,"Category","00 - Roll Over from Prior Year")/C3</f>
        <v>1</v>
      </c>
    </row>
    <row r="4" spans="1:4" x14ac:dyDescent="0.2">
      <c r="A4" s="59" t="s">
        <v>74</v>
      </c>
      <c r="B4" s="60">
        <v>87650</v>
      </c>
      <c r="C4" s="60">
        <f>'Accounting Budget'!F6</f>
        <v>73500</v>
      </c>
      <c r="D4" s="66">
        <f>GETPIVOTDATA("Debit - /Credit +",$A$2,"Category","01 - Student Association Fees")/C4</f>
        <v>1.1925170068027211</v>
      </c>
    </row>
    <row r="5" spans="1:4" x14ac:dyDescent="0.2">
      <c r="A5" s="59" t="s">
        <v>75</v>
      </c>
      <c r="B5" s="60">
        <v>42.84</v>
      </c>
      <c r="C5" s="60">
        <f>'Accounting Budget'!F7</f>
        <v>100</v>
      </c>
      <c r="D5" s="66">
        <f>GETPIVOTDATA("Debit - /Credit +",$A$2,"Category","02 - Interest Income")/C5</f>
        <v>0.42840000000000006</v>
      </c>
    </row>
    <row r="6" spans="1:4" x14ac:dyDescent="0.2">
      <c r="A6" s="59" t="s">
        <v>76</v>
      </c>
      <c r="B6" s="60">
        <v>-4436.1000000000004</v>
      </c>
      <c r="C6" s="60">
        <f>'Accounting Budget'!F80</f>
        <v>21700</v>
      </c>
      <c r="D6" s="66">
        <f>-GETPIVOTDATA("Debit - /Credit +",$A$2,"Category","03 - Student Activity Committee ")/C6</f>
        <v>0.20442857142857143</v>
      </c>
    </row>
    <row r="7" spans="1:4" x14ac:dyDescent="0.2">
      <c r="A7" s="59" t="s">
        <v>77</v>
      </c>
      <c r="B7" s="60"/>
      <c r="C7" s="60">
        <f>'Accounting Budget'!F15</f>
        <v>800</v>
      </c>
      <c r="D7" s="66">
        <f>-GETPIVOTDATA("Debit - /Credit +",$A$2,"Category","04 - Academic Affairs")/C7</f>
        <v>0</v>
      </c>
    </row>
    <row r="8" spans="1:4" x14ac:dyDescent="0.2">
      <c r="A8" s="59" t="s">
        <v>78</v>
      </c>
      <c r="B8" s="60"/>
      <c r="C8" s="60">
        <f>'Accounting Budget'!F21</f>
        <v>800</v>
      </c>
      <c r="D8" s="66">
        <f>-GETPIVOTDATA("Debit - /Credit +",$A$2,"Category","05 - Community Outreach")/C8</f>
        <v>0</v>
      </c>
    </row>
    <row r="9" spans="1:4" x14ac:dyDescent="0.2">
      <c r="A9" s="59" t="s">
        <v>79</v>
      </c>
      <c r="B9" s="60"/>
      <c r="C9" s="60">
        <f>'Accounting Budget'!F25</f>
        <v>3500</v>
      </c>
      <c r="D9" s="66">
        <f>-GETPIVOTDATA("Debit - /Credit +",$A$2,"Category","06 - Career Development")/C9</f>
        <v>0</v>
      </c>
    </row>
    <row r="10" spans="1:4" x14ac:dyDescent="0.2">
      <c r="A10" s="59" t="s">
        <v>80</v>
      </c>
      <c r="B10" s="60">
        <v>-387</v>
      </c>
      <c r="C10" s="60">
        <f>'Accounting Budget'!F40</f>
        <v>8000</v>
      </c>
      <c r="D10" s="66">
        <f>-GETPIVOTDATA("Debit - /Credit +",$A$2,"Category","07 - Family Life")/C10</f>
        <v>4.8375000000000001E-2</v>
      </c>
    </row>
    <row r="11" spans="1:4" x14ac:dyDescent="0.2">
      <c r="A11" s="59" t="s">
        <v>81</v>
      </c>
      <c r="B11" s="60"/>
      <c r="C11" s="60">
        <f>'Accounting Budget'!F72</f>
        <v>1500</v>
      </c>
      <c r="D11" s="66">
        <f>-GETPIVOTDATA("Debit - /Credit +",$A$2,"Category","08 - Alumni Relations")/C11</f>
        <v>0</v>
      </c>
    </row>
    <row r="12" spans="1:4" x14ac:dyDescent="0.2">
      <c r="A12" s="59" t="s">
        <v>82</v>
      </c>
      <c r="B12" s="60">
        <v>-379.84000000000003</v>
      </c>
      <c r="C12" s="60">
        <f>'Accounting Budget'!F45</f>
        <v>2050</v>
      </c>
      <c r="D12" s="66">
        <f>-GETPIVOTDATA("Debit - /Credit +",$A$2,"Category","09 - Leadership")/C12</f>
        <v>0.1852878048780488</v>
      </c>
    </row>
    <row r="13" spans="1:4" x14ac:dyDescent="0.2">
      <c r="A13" s="59" t="s">
        <v>83</v>
      </c>
      <c r="B13" s="60"/>
      <c r="C13" s="60">
        <f>'Accounting Budget'!F58</f>
        <v>2130</v>
      </c>
      <c r="D13" s="66">
        <f>-GETPIVOTDATA("Debit - /Credit +",$A$2,"Category","10 - International Student Committee")/C13</f>
        <v>0</v>
      </c>
    </row>
    <row r="14" spans="1:4" x14ac:dyDescent="0.2">
      <c r="A14" s="59" t="s">
        <v>84</v>
      </c>
      <c r="B14" s="60"/>
      <c r="C14" s="60">
        <f>'Accounting Budget'!F48</f>
        <v>17000</v>
      </c>
      <c r="D14" s="66">
        <f>-GETPIVOTDATA("Debit - /Credit +",$A$2,"Category","11 - Graduation")/C14</f>
        <v>0</v>
      </c>
    </row>
    <row r="15" spans="1:4" x14ac:dyDescent="0.2">
      <c r="A15" s="59" t="s">
        <v>85</v>
      </c>
      <c r="B15" s="60"/>
      <c r="C15" s="60">
        <f>'Accounting Budget'!F84</f>
        <v>500</v>
      </c>
      <c r="D15" s="66">
        <f>-GETPIVOTDATA("Debit - /Credit +",$A$2,"Category","12 - Technology")/C15</f>
        <v>0</v>
      </c>
    </row>
    <row r="16" spans="1:4" x14ac:dyDescent="0.2">
      <c r="A16" s="59" t="s">
        <v>86</v>
      </c>
      <c r="B16" s="60">
        <v>107.56000000000002</v>
      </c>
      <c r="C16" s="60">
        <f>'Accounting Budget'!F69</f>
        <v>5820</v>
      </c>
      <c r="D16" s="66">
        <f>-GETPIVOTDATA("Debit - /Credit +",$A$2,"Category","13 - MBAA Initiatives")/C16</f>
        <v>-1.8481099656357393E-2</v>
      </c>
    </row>
    <row r="17" spans="1:4" x14ac:dyDescent="0.2">
      <c r="A17" s="59" t="s">
        <v>87</v>
      </c>
      <c r="B17" s="60"/>
      <c r="C17" s="60">
        <f>'Accounting Budget'!F62</f>
        <v>2200</v>
      </c>
      <c r="D17" s="66">
        <f>-GETPIVOTDATA("Debit - /Credit +",$A$2,"Category","14 - MBAA Operations")/C17</f>
        <v>0</v>
      </c>
    </row>
    <row r="18" spans="1:4" x14ac:dyDescent="0.2">
      <c r="A18" s="59" t="s">
        <v>88</v>
      </c>
      <c r="B18" s="60">
        <v>74.150000000000006</v>
      </c>
      <c r="C18" s="60">
        <f>'Accounting Budget'!F90</f>
        <v>5500</v>
      </c>
      <c r="D18" s="66">
        <f>-GETPIVOTDATA("Debit - /Credit +",$A$2,"Category","15 - Misc. Club Support")/C18</f>
        <v>-1.3481818181818183E-2</v>
      </c>
    </row>
    <row r="19" spans="1:4" x14ac:dyDescent="0.2">
      <c r="A19" s="59" t="s">
        <v>89</v>
      </c>
      <c r="B19" s="60"/>
      <c r="C19" s="60">
        <f>'Accounting Budget'!F95</f>
        <v>6000</v>
      </c>
      <c r="D19" s="66">
        <f>-GETPIVOTDATA("Debit - /Credit +",$A$2,"Category","16 - Misc. Committee Support")/C19</f>
        <v>0</v>
      </c>
    </row>
    <row r="20" spans="1:4" x14ac:dyDescent="0.2">
      <c r="A20" s="59" t="s">
        <v>90</v>
      </c>
      <c r="B20" s="60">
        <v>-14400</v>
      </c>
      <c r="C20" s="58"/>
      <c r="D20" s="66"/>
    </row>
    <row r="21" spans="1:4" x14ac:dyDescent="0.2">
      <c r="A21" s="59" t="s">
        <v>95</v>
      </c>
      <c r="B21" s="60"/>
      <c r="C21" s="58"/>
      <c r="D21" s="58"/>
    </row>
    <row r="22" spans="1:4" x14ac:dyDescent="0.2">
      <c r="A22" s="59" t="s">
        <v>96</v>
      </c>
      <c r="B22" s="60">
        <v>116094.44</v>
      </c>
      <c r="C22" s="58"/>
      <c r="D22" s="58"/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3"/>
  <sheetViews>
    <sheetView zoomScaleNormal="100" workbookViewId="0">
      <selection activeCell="D55" sqref="D55"/>
    </sheetView>
  </sheetViews>
  <sheetFormatPr defaultRowHeight="12.75" x14ac:dyDescent="0.2"/>
  <cols>
    <col min="1" max="1" width="14.5" bestFit="1" customWidth="1"/>
    <col min="2" max="2" width="17.875" style="51" bestFit="1" customWidth="1"/>
    <col min="3" max="3" width="32.125" customWidth="1"/>
    <col min="4" max="4" width="18.375" style="14" bestFit="1" customWidth="1"/>
    <col min="5" max="5" width="20" style="53" customWidth="1"/>
    <col min="6" max="6" width="34.625" customWidth="1"/>
    <col min="8" max="8" width="12.375" style="56" bestFit="1" customWidth="1"/>
  </cols>
  <sheetData>
    <row r="1" spans="1:8" x14ac:dyDescent="0.2">
      <c r="D1" s="14">
        <f>SUM(Table1[Debit - /Credit +])</f>
        <v>116094.44000000002</v>
      </c>
    </row>
    <row r="2" spans="1:8" x14ac:dyDescent="0.2">
      <c r="A2" t="s">
        <v>69</v>
      </c>
      <c r="B2" s="51" t="s">
        <v>70</v>
      </c>
      <c r="C2" t="s">
        <v>71</v>
      </c>
      <c r="D2" s="52" t="s">
        <v>92</v>
      </c>
      <c r="E2" s="54" t="s">
        <v>93</v>
      </c>
      <c r="F2" t="s">
        <v>72</v>
      </c>
    </row>
    <row r="3" spans="1:8" x14ac:dyDescent="0.2">
      <c r="C3" t="s">
        <v>73</v>
      </c>
      <c r="F3" s="16" t="s">
        <v>91</v>
      </c>
    </row>
    <row r="4" spans="1:8" x14ac:dyDescent="0.2">
      <c r="C4" t="s">
        <v>74</v>
      </c>
      <c r="E4" s="89"/>
      <c r="F4" s="16" t="s">
        <v>91</v>
      </c>
    </row>
    <row r="5" spans="1:8" x14ac:dyDescent="0.2">
      <c r="C5" t="s">
        <v>75</v>
      </c>
      <c r="E5" s="89"/>
      <c r="F5" s="16" t="s">
        <v>91</v>
      </c>
      <c r="H5" s="74"/>
    </row>
    <row r="6" spans="1:8" x14ac:dyDescent="0.2">
      <c r="C6" t="s">
        <v>76</v>
      </c>
      <c r="F6" s="16" t="s">
        <v>91</v>
      </c>
    </row>
    <row r="7" spans="1:8" x14ac:dyDescent="0.2">
      <c r="C7" t="s">
        <v>77</v>
      </c>
      <c r="F7" s="16" t="s">
        <v>91</v>
      </c>
    </row>
    <row r="8" spans="1:8" x14ac:dyDescent="0.2">
      <c r="C8" t="s">
        <v>78</v>
      </c>
      <c r="F8" s="16" t="s">
        <v>91</v>
      </c>
    </row>
    <row r="9" spans="1:8" x14ac:dyDescent="0.2">
      <c r="C9" t="s">
        <v>79</v>
      </c>
      <c r="F9" s="16" t="s">
        <v>91</v>
      </c>
    </row>
    <row r="10" spans="1:8" x14ac:dyDescent="0.2">
      <c r="C10" t="s">
        <v>80</v>
      </c>
      <c r="F10" s="16" t="s">
        <v>91</v>
      </c>
    </row>
    <row r="11" spans="1:8" x14ac:dyDescent="0.2">
      <c r="C11" t="s">
        <v>81</v>
      </c>
      <c r="F11" s="16" t="s">
        <v>91</v>
      </c>
    </row>
    <row r="12" spans="1:8" x14ac:dyDescent="0.2">
      <c r="C12" t="s">
        <v>82</v>
      </c>
      <c r="F12" s="16" t="s">
        <v>91</v>
      </c>
    </row>
    <row r="13" spans="1:8" x14ac:dyDescent="0.2">
      <c r="C13" t="s">
        <v>83</v>
      </c>
      <c r="F13" s="16" t="s">
        <v>91</v>
      </c>
    </row>
    <row r="14" spans="1:8" x14ac:dyDescent="0.2">
      <c r="C14" t="s">
        <v>84</v>
      </c>
      <c r="F14" s="16" t="s">
        <v>91</v>
      </c>
    </row>
    <row r="15" spans="1:8" x14ac:dyDescent="0.2">
      <c r="C15" t="s">
        <v>85</v>
      </c>
      <c r="F15" s="16" t="s">
        <v>91</v>
      </c>
    </row>
    <row r="16" spans="1:8" x14ac:dyDescent="0.2">
      <c r="C16" t="s">
        <v>86</v>
      </c>
      <c r="F16" s="16" t="s">
        <v>91</v>
      </c>
    </row>
    <row r="17" spans="1:8" x14ac:dyDescent="0.2">
      <c r="C17" t="s">
        <v>87</v>
      </c>
      <c r="F17" s="16" t="s">
        <v>91</v>
      </c>
      <c r="H17" s="74"/>
    </row>
    <row r="18" spans="1:8" x14ac:dyDescent="0.2">
      <c r="C18" t="s">
        <v>88</v>
      </c>
      <c r="F18" s="16" t="s">
        <v>91</v>
      </c>
    </row>
    <row r="19" spans="1:8" x14ac:dyDescent="0.2">
      <c r="C19" t="s">
        <v>89</v>
      </c>
      <c r="F19" s="16" t="s">
        <v>91</v>
      </c>
    </row>
    <row r="20" spans="1:8" x14ac:dyDescent="0.2">
      <c r="C20" t="s">
        <v>90</v>
      </c>
      <c r="F20" s="16" t="s">
        <v>91</v>
      </c>
    </row>
    <row r="21" spans="1:8" x14ac:dyDescent="0.2">
      <c r="A21">
        <v>72001</v>
      </c>
      <c r="B21" s="51">
        <v>42186</v>
      </c>
      <c r="C21" t="s">
        <v>73</v>
      </c>
      <c r="D21" s="14">
        <v>47822.83</v>
      </c>
      <c r="E21" s="53" t="s">
        <v>140</v>
      </c>
    </row>
    <row r="22" spans="1:8" x14ac:dyDescent="0.2">
      <c r="A22">
        <v>50000</v>
      </c>
      <c r="B22" s="51">
        <v>42216</v>
      </c>
      <c r="C22" t="s">
        <v>75</v>
      </c>
      <c r="D22" s="14">
        <v>13.08</v>
      </c>
      <c r="E22" s="53" t="s">
        <v>138</v>
      </c>
      <c r="F22" t="s">
        <v>139</v>
      </c>
    </row>
    <row r="23" spans="1:8" x14ac:dyDescent="0.2">
      <c r="A23">
        <v>71011</v>
      </c>
      <c r="B23" s="51">
        <v>42195</v>
      </c>
      <c r="C23" t="s">
        <v>86</v>
      </c>
      <c r="D23" s="14">
        <v>-11.45</v>
      </c>
      <c r="E23" s="53" t="s">
        <v>148</v>
      </c>
      <c r="F23" t="s">
        <v>152</v>
      </c>
    </row>
    <row r="24" spans="1:8" x14ac:dyDescent="0.2">
      <c r="A24">
        <v>72001</v>
      </c>
      <c r="B24" s="51">
        <v>42247</v>
      </c>
      <c r="C24" t="s">
        <v>74</v>
      </c>
      <c r="D24" s="14">
        <v>73500</v>
      </c>
      <c r="E24" s="53" t="s">
        <v>145</v>
      </c>
      <c r="F24" t="s">
        <v>144</v>
      </c>
    </row>
    <row r="25" spans="1:8" x14ac:dyDescent="0.2">
      <c r="A25">
        <v>72001</v>
      </c>
      <c r="B25" s="51">
        <v>42247</v>
      </c>
      <c r="C25" t="s">
        <v>74</v>
      </c>
      <c r="D25" s="14">
        <v>5000</v>
      </c>
      <c r="E25" s="53" t="s">
        <v>145</v>
      </c>
      <c r="F25" t="s">
        <v>146</v>
      </c>
    </row>
    <row r="26" spans="1:8" x14ac:dyDescent="0.2">
      <c r="A26">
        <v>72001</v>
      </c>
      <c r="B26" s="51">
        <v>42247</v>
      </c>
      <c r="C26" t="s">
        <v>74</v>
      </c>
      <c r="D26" s="14">
        <v>9400</v>
      </c>
      <c r="E26" s="53" t="s">
        <v>145</v>
      </c>
      <c r="F26" t="s">
        <v>147</v>
      </c>
    </row>
    <row r="27" spans="1:8" x14ac:dyDescent="0.2">
      <c r="A27">
        <v>81072</v>
      </c>
      <c r="B27" s="51">
        <v>42247</v>
      </c>
      <c r="C27" t="s">
        <v>75</v>
      </c>
      <c r="D27" s="14">
        <v>14.98</v>
      </c>
      <c r="E27" s="53" t="s">
        <v>138</v>
      </c>
      <c r="F27" t="s">
        <v>141</v>
      </c>
    </row>
    <row r="28" spans="1:8" x14ac:dyDescent="0.2">
      <c r="A28">
        <v>71011</v>
      </c>
      <c r="B28" s="51">
        <v>42221</v>
      </c>
      <c r="C28" t="s">
        <v>86</v>
      </c>
      <c r="D28" s="14">
        <v>-11.45</v>
      </c>
      <c r="E28" s="53" t="s">
        <v>148</v>
      </c>
      <c r="F28" t="s">
        <v>152</v>
      </c>
    </row>
    <row r="29" spans="1:8" x14ac:dyDescent="0.2">
      <c r="A29">
        <v>72450</v>
      </c>
      <c r="B29" s="51">
        <v>42244</v>
      </c>
      <c r="C29" t="s">
        <v>86</v>
      </c>
      <c r="D29" s="14">
        <v>-25.5</v>
      </c>
      <c r="E29" s="54" t="s">
        <v>150</v>
      </c>
      <c r="F29" s="54" t="s">
        <v>151</v>
      </c>
    </row>
    <row r="30" spans="1:8" x14ac:dyDescent="0.2">
      <c r="A30">
        <v>81072</v>
      </c>
      <c r="B30" s="51">
        <v>42209</v>
      </c>
      <c r="C30" t="s">
        <v>88</v>
      </c>
      <c r="D30" s="14">
        <v>74.150000000000006</v>
      </c>
      <c r="E30" s="54" t="s">
        <v>142</v>
      </c>
      <c r="F30" s="16" t="s">
        <v>143</v>
      </c>
    </row>
    <row r="31" spans="1:8" x14ac:dyDescent="0.2">
      <c r="A31">
        <v>55000</v>
      </c>
      <c r="B31" s="51">
        <v>42277</v>
      </c>
      <c r="C31" s="16" t="s">
        <v>75</v>
      </c>
      <c r="D31" s="14">
        <v>14.78</v>
      </c>
      <c r="E31" s="54" t="s">
        <v>138</v>
      </c>
      <c r="F31" t="s">
        <v>177</v>
      </c>
    </row>
    <row r="32" spans="1:8" x14ac:dyDescent="0.2">
      <c r="A32">
        <v>58001</v>
      </c>
      <c r="B32" s="51">
        <v>42251</v>
      </c>
      <c r="C32" s="16" t="s">
        <v>86</v>
      </c>
      <c r="D32" s="14">
        <v>0.01</v>
      </c>
      <c r="E32" s="54" t="s">
        <v>148</v>
      </c>
      <c r="F32" t="s">
        <v>178</v>
      </c>
    </row>
    <row r="33" spans="1:7" x14ac:dyDescent="0.2">
      <c r="A33">
        <v>58001</v>
      </c>
      <c r="B33" s="51">
        <v>42256</v>
      </c>
      <c r="C33" s="16" t="s">
        <v>86</v>
      </c>
      <c r="D33" s="14">
        <v>46.1</v>
      </c>
      <c r="E33" s="53" t="s">
        <v>148</v>
      </c>
      <c r="F33" t="s">
        <v>178</v>
      </c>
    </row>
    <row r="34" spans="1:7" x14ac:dyDescent="0.2">
      <c r="A34">
        <v>58001</v>
      </c>
      <c r="B34" s="51">
        <v>42270</v>
      </c>
      <c r="C34" s="16" t="s">
        <v>86</v>
      </c>
      <c r="D34" s="14">
        <v>79.5</v>
      </c>
      <c r="E34" s="53" t="s">
        <v>148</v>
      </c>
      <c r="F34" t="s">
        <v>178</v>
      </c>
    </row>
    <row r="35" spans="1:7" x14ac:dyDescent="0.2">
      <c r="A35">
        <v>58001</v>
      </c>
      <c r="B35" s="51">
        <v>42277</v>
      </c>
      <c r="C35" s="16" t="s">
        <v>86</v>
      </c>
      <c r="D35" s="14">
        <v>85</v>
      </c>
      <c r="E35" s="54" t="s">
        <v>148</v>
      </c>
      <c r="F35" t="s">
        <v>178</v>
      </c>
      <c r="G35" s="16"/>
    </row>
    <row r="36" spans="1:7" x14ac:dyDescent="0.2">
      <c r="A36">
        <v>71011</v>
      </c>
      <c r="B36" s="51">
        <v>42251</v>
      </c>
      <c r="C36" s="16" t="s">
        <v>86</v>
      </c>
      <c r="D36" s="14">
        <v>-11.45</v>
      </c>
      <c r="E36" s="54" t="s">
        <v>148</v>
      </c>
      <c r="F36" s="16" t="s">
        <v>152</v>
      </c>
      <c r="G36" s="16"/>
    </row>
    <row r="37" spans="1:7" x14ac:dyDescent="0.2">
      <c r="A37">
        <v>72251</v>
      </c>
      <c r="B37" s="51">
        <v>42277</v>
      </c>
      <c r="C37" t="s">
        <v>82</v>
      </c>
      <c r="D37" s="14">
        <v>-110.46</v>
      </c>
      <c r="E37" s="54" t="s">
        <v>156</v>
      </c>
      <c r="F37" s="16" t="s">
        <v>173</v>
      </c>
      <c r="G37" s="39"/>
    </row>
    <row r="38" spans="1:7" x14ac:dyDescent="0.2">
      <c r="A38">
        <v>72450</v>
      </c>
      <c r="B38" s="51">
        <v>42264</v>
      </c>
      <c r="C38" s="16" t="s">
        <v>76</v>
      </c>
      <c r="D38" s="14">
        <v>-288.89999999999998</v>
      </c>
      <c r="E38" s="54" t="s">
        <v>157</v>
      </c>
      <c r="F38" s="16" t="s">
        <v>170</v>
      </c>
      <c r="G38" s="16"/>
    </row>
    <row r="39" spans="1:7" x14ac:dyDescent="0.2">
      <c r="A39">
        <v>72450</v>
      </c>
      <c r="B39" s="51">
        <v>42267</v>
      </c>
      <c r="C39" s="16" t="s">
        <v>76</v>
      </c>
      <c r="D39" s="14">
        <v>-332.03</v>
      </c>
      <c r="E39" s="54" t="s">
        <v>157</v>
      </c>
      <c r="F39" s="16" t="s">
        <v>169</v>
      </c>
      <c r="G39" s="16"/>
    </row>
    <row r="40" spans="1:7" x14ac:dyDescent="0.2">
      <c r="A40">
        <v>72450</v>
      </c>
      <c r="B40" s="51">
        <v>42275</v>
      </c>
      <c r="C40" t="s">
        <v>86</v>
      </c>
      <c r="D40" s="14">
        <v>-25.5</v>
      </c>
      <c r="E40" s="54" t="s">
        <v>150</v>
      </c>
      <c r="F40" s="16" t="s">
        <v>151</v>
      </c>
    </row>
    <row r="41" spans="1:7" x14ac:dyDescent="0.2">
      <c r="A41">
        <v>72450</v>
      </c>
      <c r="B41" s="51">
        <v>42277</v>
      </c>
      <c r="C41" s="16" t="s">
        <v>76</v>
      </c>
      <c r="D41" s="14">
        <v>-114.98</v>
      </c>
      <c r="E41" s="54" t="s">
        <v>156</v>
      </c>
      <c r="F41" s="16" t="s">
        <v>171</v>
      </c>
    </row>
    <row r="42" spans="1:7" x14ac:dyDescent="0.2">
      <c r="A42">
        <v>72450</v>
      </c>
      <c r="B42" s="51">
        <v>42277</v>
      </c>
      <c r="C42" s="16" t="s">
        <v>76</v>
      </c>
      <c r="D42" s="14">
        <v>-143.85</v>
      </c>
      <c r="E42" s="54" t="s">
        <v>159</v>
      </c>
      <c r="F42" s="16" t="s">
        <v>175</v>
      </c>
    </row>
    <row r="43" spans="1:7" x14ac:dyDescent="0.2">
      <c r="A43">
        <v>72450</v>
      </c>
      <c r="B43" s="51">
        <v>42262</v>
      </c>
      <c r="C43" s="16" t="s">
        <v>76</v>
      </c>
      <c r="D43" s="14">
        <v>-1725.38</v>
      </c>
      <c r="E43" s="54" t="s">
        <v>158</v>
      </c>
      <c r="F43" s="16" t="s">
        <v>160</v>
      </c>
    </row>
    <row r="44" spans="1:7" x14ac:dyDescent="0.2">
      <c r="A44">
        <v>72454</v>
      </c>
      <c r="B44" s="51">
        <v>42263</v>
      </c>
      <c r="C44" s="16" t="s">
        <v>76</v>
      </c>
      <c r="D44" s="14">
        <v>-76.5</v>
      </c>
      <c r="E44" s="54" t="s">
        <v>156</v>
      </c>
      <c r="F44" s="16" t="s">
        <v>167</v>
      </c>
    </row>
    <row r="45" spans="1:7" x14ac:dyDescent="0.2">
      <c r="A45">
        <v>72454</v>
      </c>
      <c r="B45" s="51">
        <v>42263</v>
      </c>
      <c r="C45" s="16" t="s">
        <v>76</v>
      </c>
      <c r="D45" s="14">
        <v>-34.93</v>
      </c>
      <c r="E45" s="54" t="s">
        <v>156</v>
      </c>
      <c r="F45" s="16" t="s">
        <v>168</v>
      </c>
    </row>
    <row r="46" spans="1:7" x14ac:dyDescent="0.2">
      <c r="A46">
        <v>72454</v>
      </c>
      <c r="B46" s="51">
        <v>42275</v>
      </c>
      <c r="C46" s="16" t="s">
        <v>76</v>
      </c>
      <c r="D46" s="14">
        <v>-847</v>
      </c>
      <c r="E46" s="54" t="s">
        <v>161</v>
      </c>
      <c r="F46" s="70" t="s">
        <v>163</v>
      </c>
    </row>
    <row r="47" spans="1:7" x14ac:dyDescent="0.2">
      <c r="A47">
        <v>72454</v>
      </c>
      <c r="B47" s="51">
        <v>42277</v>
      </c>
      <c r="C47" s="16" t="s">
        <v>76</v>
      </c>
      <c r="D47" s="14">
        <v>-33.53</v>
      </c>
      <c r="E47" s="54" t="s">
        <v>156</v>
      </c>
      <c r="F47" s="16" t="s">
        <v>172</v>
      </c>
    </row>
    <row r="48" spans="1:7" x14ac:dyDescent="0.2">
      <c r="A48">
        <v>72454</v>
      </c>
      <c r="B48" s="51">
        <v>42277</v>
      </c>
      <c r="C48" s="16" t="s">
        <v>82</v>
      </c>
      <c r="D48" s="14">
        <v>-123.03</v>
      </c>
      <c r="E48" s="54" t="s">
        <v>156</v>
      </c>
      <c r="F48" s="70" t="s">
        <v>173</v>
      </c>
    </row>
    <row r="49" spans="1:7" x14ac:dyDescent="0.2">
      <c r="A49">
        <v>77060</v>
      </c>
      <c r="B49" s="51">
        <v>42277</v>
      </c>
      <c r="C49" s="16" t="s">
        <v>82</v>
      </c>
      <c r="D49" s="14">
        <v>-97</v>
      </c>
      <c r="E49" s="54" t="s">
        <v>162</v>
      </c>
      <c r="F49" s="16" t="s">
        <v>176</v>
      </c>
    </row>
    <row r="50" spans="1:7" x14ac:dyDescent="0.2">
      <c r="A50">
        <v>77060</v>
      </c>
      <c r="B50" s="51">
        <v>42277</v>
      </c>
      <c r="C50" s="16" t="s">
        <v>82</v>
      </c>
      <c r="D50" s="14">
        <v>-49.35</v>
      </c>
      <c r="E50" s="53" t="s">
        <v>162</v>
      </c>
      <c r="F50" s="16" t="s">
        <v>176</v>
      </c>
    </row>
    <row r="51" spans="1:7" x14ac:dyDescent="0.2">
      <c r="A51">
        <v>72001</v>
      </c>
      <c r="B51" s="51">
        <v>42286</v>
      </c>
      <c r="C51" s="16" t="s">
        <v>90</v>
      </c>
      <c r="D51" s="14">
        <v>-14400</v>
      </c>
      <c r="E51" s="54" t="s">
        <v>165</v>
      </c>
      <c r="F51" s="16" t="s">
        <v>164</v>
      </c>
    </row>
    <row r="52" spans="1:7" x14ac:dyDescent="0.2">
      <c r="A52">
        <v>71011</v>
      </c>
      <c r="B52" s="51">
        <v>42284</v>
      </c>
      <c r="C52" s="16" t="s">
        <v>86</v>
      </c>
      <c r="D52" s="14">
        <v>-17.7</v>
      </c>
      <c r="E52" s="54" t="s">
        <v>148</v>
      </c>
      <c r="F52" s="16" t="s">
        <v>179</v>
      </c>
    </row>
    <row r="53" spans="1:7" x14ac:dyDescent="0.2">
      <c r="A53">
        <v>72454</v>
      </c>
      <c r="B53" s="51">
        <v>42291</v>
      </c>
      <c r="C53" s="16" t="s">
        <v>76</v>
      </c>
      <c r="D53" s="14">
        <v>-839</v>
      </c>
      <c r="E53" s="54" t="s">
        <v>161</v>
      </c>
      <c r="F53" s="16" t="s">
        <v>175</v>
      </c>
    </row>
    <row r="54" spans="1:7" x14ac:dyDescent="0.2">
      <c r="A54">
        <v>72592</v>
      </c>
      <c r="B54" s="51">
        <v>42286</v>
      </c>
      <c r="C54" s="16" t="s">
        <v>80</v>
      </c>
      <c r="D54" s="14">
        <v>-387</v>
      </c>
      <c r="E54" s="54" t="s">
        <v>166</v>
      </c>
      <c r="F54" s="16" t="s">
        <v>174</v>
      </c>
    </row>
    <row r="55" spans="1:7" x14ac:dyDescent="0.2">
      <c r="A55">
        <v>72001</v>
      </c>
      <c r="B55" s="51">
        <v>42257</v>
      </c>
      <c r="C55" s="16" t="s">
        <v>74</v>
      </c>
      <c r="D55" s="14">
        <v>-250</v>
      </c>
      <c r="E55" s="54" t="s">
        <v>145</v>
      </c>
      <c r="F55" t="s">
        <v>144</v>
      </c>
    </row>
    <row r="56" spans="1:7" x14ac:dyDescent="0.2">
      <c r="C56" s="16"/>
      <c r="E56" s="54"/>
      <c r="F56" s="16"/>
    </row>
    <row r="57" spans="1:7" x14ac:dyDescent="0.2">
      <c r="C57" s="16"/>
      <c r="E57" s="54"/>
      <c r="F57" s="16"/>
    </row>
    <row r="58" spans="1:7" x14ac:dyDescent="0.2">
      <c r="C58" s="16"/>
      <c r="E58" s="54"/>
      <c r="F58" s="16"/>
    </row>
    <row r="59" spans="1:7" x14ac:dyDescent="0.2">
      <c r="C59" s="16"/>
      <c r="E59" s="54"/>
      <c r="F59" s="16"/>
    </row>
    <row r="60" spans="1:7" x14ac:dyDescent="0.2">
      <c r="C60" s="16"/>
      <c r="E60" s="54"/>
      <c r="F60" s="16"/>
    </row>
    <row r="61" spans="1:7" x14ac:dyDescent="0.2">
      <c r="C61" s="16"/>
      <c r="F61" s="16"/>
    </row>
    <row r="62" spans="1:7" x14ac:dyDescent="0.2">
      <c r="C62" s="16"/>
      <c r="E62" s="54"/>
      <c r="F62" s="16"/>
      <c r="G62" s="16"/>
    </row>
    <row r="63" spans="1:7" x14ac:dyDescent="0.2">
      <c r="E63" s="54"/>
      <c r="F63" s="16"/>
    </row>
    <row r="64" spans="1:7" x14ac:dyDescent="0.2">
      <c r="E64" s="54"/>
      <c r="F64" s="56"/>
    </row>
    <row r="65" spans="3:6" x14ac:dyDescent="0.2">
      <c r="C65" s="16"/>
      <c r="E65" s="54"/>
      <c r="F65" s="56"/>
    </row>
    <row r="66" spans="3:6" x14ac:dyDescent="0.2">
      <c r="C66" s="16"/>
      <c r="E66" s="54"/>
      <c r="F66" s="16"/>
    </row>
    <row r="67" spans="3:6" x14ac:dyDescent="0.2">
      <c r="C67" s="16"/>
      <c r="E67" s="54"/>
      <c r="F67" s="16"/>
    </row>
    <row r="68" spans="3:6" x14ac:dyDescent="0.2">
      <c r="C68" s="16"/>
      <c r="E68" s="54"/>
      <c r="F68" s="16"/>
    </row>
    <row r="69" spans="3:6" x14ac:dyDescent="0.2">
      <c r="C69" s="16"/>
      <c r="E69" s="54"/>
      <c r="F69" s="16"/>
    </row>
    <row r="70" spans="3:6" x14ac:dyDescent="0.2">
      <c r="C70" s="16"/>
      <c r="E70" s="54"/>
      <c r="F70" s="16"/>
    </row>
    <row r="71" spans="3:6" x14ac:dyDescent="0.2">
      <c r="C71" s="16"/>
      <c r="E71" s="54"/>
      <c r="F71" s="16"/>
    </row>
    <row r="72" spans="3:6" x14ac:dyDescent="0.2">
      <c r="C72" s="16"/>
      <c r="E72" s="54"/>
      <c r="F72" s="56"/>
    </row>
    <row r="73" spans="3:6" x14ac:dyDescent="0.2">
      <c r="C73" s="16"/>
      <c r="E73" s="54"/>
      <c r="F73" s="56"/>
    </row>
    <row r="74" spans="3:6" x14ac:dyDescent="0.2">
      <c r="C74" s="16"/>
      <c r="E74" s="54"/>
      <c r="F74" s="56"/>
    </row>
    <row r="75" spans="3:6" x14ac:dyDescent="0.2">
      <c r="C75" s="16"/>
      <c r="E75" s="54"/>
      <c r="F75" s="56"/>
    </row>
    <row r="76" spans="3:6" x14ac:dyDescent="0.2">
      <c r="C76" s="16"/>
      <c r="E76" s="54"/>
      <c r="F76" s="56"/>
    </row>
    <row r="77" spans="3:6" x14ac:dyDescent="0.2">
      <c r="C77" s="16"/>
      <c r="E77" s="54"/>
      <c r="F77" s="16"/>
    </row>
    <row r="78" spans="3:6" x14ac:dyDescent="0.2">
      <c r="C78" s="16"/>
      <c r="E78" s="54"/>
      <c r="F78" s="56"/>
    </row>
    <row r="109" spans="5:7" x14ac:dyDescent="0.2">
      <c r="G109" s="16"/>
    </row>
    <row r="110" spans="5:7" x14ac:dyDescent="0.2">
      <c r="E110" s="54"/>
      <c r="F110" s="53"/>
      <c r="G110" s="16"/>
    </row>
    <row r="111" spans="5:7" x14ac:dyDescent="0.2">
      <c r="E111" s="54"/>
      <c r="F111" s="53"/>
      <c r="G111" s="16"/>
    </row>
    <row r="112" spans="5:7" x14ac:dyDescent="0.2">
      <c r="E112" s="54"/>
      <c r="F112" s="53"/>
      <c r="G112" s="16"/>
    </row>
    <row r="113" spans="5:7" x14ac:dyDescent="0.2">
      <c r="E113" s="54"/>
      <c r="F113" s="53"/>
      <c r="G113" s="16"/>
    </row>
    <row r="114" spans="5:7" x14ac:dyDescent="0.2">
      <c r="E114" s="54"/>
      <c r="F114" s="53"/>
      <c r="G114" s="16"/>
    </row>
    <row r="115" spans="5:7" x14ac:dyDescent="0.2">
      <c r="E115" s="54"/>
      <c r="F115" s="53"/>
      <c r="G115" s="16"/>
    </row>
    <row r="116" spans="5:7" x14ac:dyDescent="0.2">
      <c r="E116" s="54"/>
      <c r="F116" s="53"/>
      <c r="G116" s="16"/>
    </row>
    <row r="117" spans="5:7" x14ac:dyDescent="0.2">
      <c r="E117" s="54"/>
      <c r="F117" s="53"/>
      <c r="G117" s="16"/>
    </row>
    <row r="118" spans="5:7" x14ac:dyDescent="0.2">
      <c r="E118" s="54"/>
      <c r="F118" s="53"/>
      <c r="G118" s="16"/>
    </row>
    <row r="119" spans="5:7" x14ac:dyDescent="0.2">
      <c r="E119" s="54"/>
      <c r="F119" s="53"/>
      <c r="G119" s="16"/>
    </row>
    <row r="120" spans="5:7" x14ac:dyDescent="0.2">
      <c r="E120" s="54"/>
      <c r="F120" s="53"/>
      <c r="G120" s="16"/>
    </row>
    <row r="121" spans="5:7" x14ac:dyDescent="0.2">
      <c r="E121" s="54"/>
      <c r="F121" s="53"/>
      <c r="G121" s="16"/>
    </row>
    <row r="122" spans="5:7" x14ac:dyDescent="0.2">
      <c r="E122" s="54"/>
      <c r="F122" s="53"/>
      <c r="G122" s="16"/>
    </row>
    <row r="123" spans="5:7" x14ac:dyDescent="0.2">
      <c r="E123" s="54"/>
      <c r="F123" s="53"/>
      <c r="G123" s="16"/>
    </row>
    <row r="124" spans="5:7" x14ac:dyDescent="0.2">
      <c r="G124" s="16"/>
    </row>
    <row r="125" spans="5:7" x14ac:dyDescent="0.2">
      <c r="G125" s="16"/>
    </row>
    <row r="126" spans="5:7" x14ac:dyDescent="0.2">
      <c r="G126" s="16"/>
    </row>
    <row r="127" spans="5:7" x14ac:dyDescent="0.2">
      <c r="G127" s="16"/>
    </row>
    <row r="128" spans="5:7" x14ac:dyDescent="0.2">
      <c r="G128" s="16"/>
    </row>
    <row r="129" spans="2:7" x14ac:dyDescent="0.2">
      <c r="G129" s="16"/>
    </row>
    <row r="130" spans="2:7" x14ac:dyDescent="0.2">
      <c r="B130" s="55"/>
      <c r="C130" s="16"/>
      <c r="E130" s="16"/>
      <c r="F130" s="16"/>
      <c r="G130" s="16"/>
    </row>
    <row r="131" spans="2:7" x14ac:dyDescent="0.2">
      <c r="B131" s="55"/>
      <c r="C131" s="16"/>
      <c r="E131" s="54"/>
      <c r="F131" s="16"/>
      <c r="G131" s="16"/>
    </row>
    <row r="132" spans="2:7" x14ac:dyDescent="0.2">
      <c r="C132" s="16"/>
      <c r="E132" s="54"/>
      <c r="F132" s="54"/>
      <c r="G132" s="16"/>
    </row>
    <row r="133" spans="2:7" x14ac:dyDescent="0.2">
      <c r="C133" s="16"/>
      <c r="E133" s="54"/>
      <c r="F133" s="54"/>
      <c r="G133" s="16"/>
    </row>
    <row r="134" spans="2:7" x14ac:dyDescent="0.2">
      <c r="C134" s="16"/>
      <c r="E134" s="54"/>
      <c r="F134" s="54"/>
      <c r="G134" s="16"/>
    </row>
    <row r="135" spans="2:7" x14ac:dyDescent="0.2">
      <c r="C135" s="16"/>
      <c r="E135" s="54"/>
      <c r="F135" s="16"/>
      <c r="G135" s="16"/>
    </row>
    <row r="136" spans="2:7" x14ac:dyDescent="0.2">
      <c r="C136" s="16"/>
      <c r="E136" s="54"/>
      <c r="F136" s="16"/>
      <c r="G136" s="16"/>
    </row>
    <row r="137" spans="2:7" x14ac:dyDescent="0.2">
      <c r="C137" s="16"/>
      <c r="E137" s="54"/>
      <c r="F137" s="16"/>
      <c r="G137" s="16"/>
    </row>
    <row r="138" spans="2:7" x14ac:dyDescent="0.2">
      <c r="C138" s="16"/>
      <c r="E138" s="54"/>
      <c r="F138" s="16"/>
      <c r="G138" s="16"/>
    </row>
    <row r="139" spans="2:7" x14ac:dyDescent="0.2">
      <c r="C139" s="16"/>
      <c r="E139" s="54"/>
      <c r="F139" s="16"/>
      <c r="G139" s="16"/>
    </row>
    <row r="140" spans="2:7" x14ac:dyDescent="0.2">
      <c r="C140" s="16"/>
      <c r="E140" s="54"/>
      <c r="F140" s="16"/>
      <c r="G140" s="16"/>
    </row>
    <row r="141" spans="2:7" x14ac:dyDescent="0.2">
      <c r="C141" s="16"/>
      <c r="E141" s="54"/>
      <c r="F141" s="16"/>
      <c r="G141" s="16"/>
    </row>
    <row r="142" spans="2:7" x14ac:dyDescent="0.2">
      <c r="C142" s="16"/>
      <c r="E142" s="54"/>
      <c r="F142" s="16"/>
      <c r="G142" s="16"/>
    </row>
    <row r="143" spans="2:7" x14ac:dyDescent="0.2">
      <c r="C143" s="16"/>
      <c r="E143" s="54"/>
      <c r="F143" s="16"/>
      <c r="G143" s="16"/>
    </row>
    <row r="144" spans="2:7" x14ac:dyDescent="0.2">
      <c r="C144" s="16"/>
      <c r="F144" s="16"/>
      <c r="G144" s="16"/>
    </row>
    <row r="145" spans="3:8" x14ac:dyDescent="0.2">
      <c r="C145" s="16"/>
      <c r="E145" s="54"/>
      <c r="F145" s="16"/>
      <c r="G145" s="16"/>
    </row>
    <row r="146" spans="3:8" x14ac:dyDescent="0.2">
      <c r="C146" s="16"/>
      <c r="E146" s="54"/>
      <c r="F146" s="16"/>
      <c r="G146" s="16"/>
    </row>
    <row r="147" spans="3:8" x14ac:dyDescent="0.2">
      <c r="C147" s="16"/>
      <c r="E147" s="54"/>
      <c r="F147" s="16"/>
      <c r="G147" s="16"/>
      <c r="H147" s="70"/>
    </row>
    <row r="148" spans="3:8" x14ac:dyDescent="0.2">
      <c r="C148" s="16"/>
      <c r="E148" s="54"/>
      <c r="F148" s="16"/>
      <c r="G148" s="16"/>
      <c r="H148" s="70"/>
    </row>
    <row r="149" spans="3:8" x14ac:dyDescent="0.2">
      <c r="C149" s="16"/>
      <c r="F149" s="16"/>
      <c r="G149" s="16"/>
      <c r="H149" s="70"/>
    </row>
    <row r="150" spans="3:8" x14ac:dyDescent="0.2">
      <c r="C150" s="16"/>
      <c r="F150" s="16"/>
      <c r="H150" s="70"/>
    </row>
    <row r="151" spans="3:8" x14ac:dyDescent="0.2">
      <c r="G151" s="16"/>
      <c r="H151" s="70"/>
    </row>
    <row r="152" spans="3:8" x14ac:dyDescent="0.2">
      <c r="C152" s="16"/>
      <c r="E152" s="54"/>
      <c r="F152" s="16"/>
      <c r="G152" s="16"/>
    </row>
    <row r="153" spans="3:8" x14ac:dyDescent="0.2">
      <c r="C153" s="16"/>
      <c r="E153" s="54"/>
      <c r="F153" s="16"/>
      <c r="H153" s="70"/>
    </row>
    <row r="154" spans="3:8" x14ac:dyDescent="0.2">
      <c r="C154" s="16"/>
      <c r="E154" s="54"/>
      <c r="F154" s="16"/>
      <c r="H154" s="70"/>
    </row>
    <row r="155" spans="3:8" x14ac:dyDescent="0.2">
      <c r="C155" s="16"/>
      <c r="E155" s="54"/>
      <c r="F155" s="16"/>
      <c r="H155" s="70"/>
    </row>
    <row r="156" spans="3:8" x14ac:dyDescent="0.2">
      <c r="E156" s="54"/>
      <c r="H156" s="70"/>
    </row>
    <row r="157" spans="3:8" x14ac:dyDescent="0.2">
      <c r="C157" s="16"/>
      <c r="E157" s="54"/>
      <c r="F157" s="16"/>
      <c r="H157" s="70"/>
    </row>
    <row r="158" spans="3:8" x14ac:dyDescent="0.2">
      <c r="C158" s="16"/>
      <c r="E158" s="54"/>
      <c r="F158" s="16"/>
      <c r="H158" s="70"/>
    </row>
    <row r="159" spans="3:8" x14ac:dyDescent="0.2">
      <c r="C159" s="16"/>
      <c r="E159" s="54"/>
      <c r="F159" s="16"/>
      <c r="G159" s="16"/>
    </row>
    <row r="160" spans="3:8" x14ac:dyDescent="0.2">
      <c r="G160" s="16"/>
    </row>
    <row r="161" spans="3:7" x14ac:dyDescent="0.2">
      <c r="G161" s="16"/>
    </row>
    <row r="162" spans="3:7" x14ac:dyDescent="0.2">
      <c r="G162" s="16"/>
    </row>
    <row r="163" spans="3:7" x14ac:dyDescent="0.2">
      <c r="G163" s="16"/>
    </row>
    <row r="164" spans="3:7" x14ac:dyDescent="0.2">
      <c r="G164" s="16"/>
    </row>
    <row r="165" spans="3:7" x14ac:dyDescent="0.2">
      <c r="G165" s="16"/>
    </row>
    <row r="166" spans="3:7" x14ac:dyDescent="0.2">
      <c r="G166" s="16"/>
    </row>
    <row r="167" spans="3:7" x14ac:dyDescent="0.2">
      <c r="G167" s="16"/>
    </row>
    <row r="168" spans="3:7" x14ac:dyDescent="0.2">
      <c r="G168" s="16"/>
    </row>
    <row r="169" spans="3:7" x14ac:dyDescent="0.2">
      <c r="G169" s="16"/>
    </row>
    <row r="170" spans="3:7" x14ac:dyDescent="0.2">
      <c r="G170" s="16"/>
    </row>
    <row r="171" spans="3:7" x14ac:dyDescent="0.2">
      <c r="G171" s="16"/>
    </row>
    <row r="172" spans="3:7" x14ac:dyDescent="0.2">
      <c r="G172" s="16"/>
    </row>
    <row r="173" spans="3:7" x14ac:dyDescent="0.2">
      <c r="G173" s="16"/>
    </row>
    <row r="174" spans="3:7" x14ac:dyDescent="0.2">
      <c r="G174" s="16"/>
    </row>
    <row r="175" spans="3:7" x14ac:dyDescent="0.2">
      <c r="G175" s="16"/>
    </row>
    <row r="176" spans="3:7" x14ac:dyDescent="0.2">
      <c r="C176" s="16"/>
      <c r="E176" s="54"/>
      <c r="G176" s="16"/>
    </row>
    <row r="177" spans="3:7" x14ac:dyDescent="0.2">
      <c r="C177" s="16"/>
      <c r="E177" s="54"/>
      <c r="G177" s="16"/>
    </row>
    <row r="178" spans="3:7" x14ac:dyDescent="0.2">
      <c r="C178" s="16"/>
      <c r="E178" s="54"/>
      <c r="F178" s="16"/>
      <c r="G178" s="16"/>
    </row>
    <row r="179" spans="3:7" x14ac:dyDescent="0.2">
      <c r="C179" s="16"/>
      <c r="E179" s="54"/>
      <c r="F179" s="16"/>
      <c r="G179" s="16"/>
    </row>
    <row r="180" spans="3:7" x14ac:dyDescent="0.2">
      <c r="C180" s="16"/>
      <c r="E180" s="54"/>
      <c r="F180" s="16"/>
      <c r="G180" s="16"/>
    </row>
    <row r="181" spans="3:7" x14ac:dyDescent="0.2">
      <c r="C181" s="16"/>
      <c r="E181" s="54"/>
      <c r="F181" s="16"/>
    </row>
    <row r="182" spans="3:7" x14ac:dyDescent="0.2">
      <c r="C182" s="16"/>
      <c r="E182" s="54"/>
      <c r="F182" s="16"/>
    </row>
    <row r="183" spans="3:7" x14ac:dyDescent="0.2">
      <c r="C183" s="16"/>
      <c r="E183" s="54"/>
      <c r="F183" s="16"/>
    </row>
    <row r="184" spans="3:7" x14ac:dyDescent="0.2">
      <c r="C184" s="16"/>
      <c r="E184" s="54"/>
      <c r="F184" s="16"/>
    </row>
    <row r="185" spans="3:7" x14ac:dyDescent="0.2">
      <c r="C185" s="16"/>
      <c r="E185" s="54"/>
      <c r="F185" s="16"/>
    </row>
    <row r="186" spans="3:7" x14ac:dyDescent="0.2">
      <c r="C186" s="16"/>
      <c r="E186" s="54"/>
      <c r="F186" s="16"/>
    </row>
    <row r="187" spans="3:7" x14ac:dyDescent="0.2">
      <c r="C187" s="16"/>
      <c r="E187" s="54"/>
      <c r="F187" s="16"/>
    </row>
    <row r="188" spans="3:7" x14ac:dyDescent="0.2">
      <c r="C188" s="16"/>
      <c r="E188" s="54"/>
      <c r="F188" s="16"/>
      <c r="G188" s="16"/>
    </row>
    <row r="189" spans="3:7" x14ac:dyDescent="0.2">
      <c r="C189" s="16"/>
      <c r="E189" s="54"/>
      <c r="F189" s="16"/>
      <c r="G189" s="16"/>
    </row>
    <row r="190" spans="3:7" x14ac:dyDescent="0.2">
      <c r="C190" s="16"/>
      <c r="E190" s="54"/>
      <c r="F190" s="16"/>
      <c r="G190" s="16"/>
    </row>
    <row r="191" spans="3:7" x14ac:dyDescent="0.2">
      <c r="C191" s="16"/>
      <c r="E191" s="54"/>
      <c r="F191" s="16"/>
      <c r="G191" s="16"/>
    </row>
    <row r="192" spans="3:7" x14ac:dyDescent="0.2">
      <c r="C192" s="16"/>
      <c r="E192" s="54"/>
      <c r="F192" s="16"/>
    </row>
    <row r="193" spans="3:7" x14ac:dyDescent="0.2">
      <c r="C193" s="16"/>
      <c r="E193" s="54"/>
      <c r="F193" s="16"/>
    </row>
    <row r="194" spans="3:7" x14ac:dyDescent="0.2">
      <c r="C194" s="16"/>
      <c r="E194" s="54"/>
      <c r="F194" s="16"/>
    </row>
    <row r="195" spans="3:7" x14ac:dyDescent="0.2">
      <c r="C195" s="16"/>
      <c r="E195" s="54"/>
      <c r="F195" s="16"/>
    </row>
    <row r="196" spans="3:7" x14ac:dyDescent="0.2">
      <c r="C196" s="16"/>
      <c r="E196" s="54"/>
      <c r="F196" s="16"/>
    </row>
    <row r="197" spans="3:7" x14ac:dyDescent="0.2">
      <c r="C197" s="16"/>
      <c r="E197" s="54"/>
      <c r="F197" s="16"/>
    </row>
    <row r="198" spans="3:7" x14ac:dyDescent="0.2">
      <c r="C198" s="16"/>
      <c r="E198" s="54"/>
      <c r="F198" s="16"/>
    </row>
    <row r="199" spans="3:7" x14ac:dyDescent="0.2">
      <c r="C199" s="16"/>
      <c r="E199" s="54"/>
      <c r="F199" s="16"/>
    </row>
    <row r="200" spans="3:7" x14ac:dyDescent="0.2">
      <c r="C200" s="16"/>
      <c r="E200" s="54"/>
      <c r="F200" s="16"/>
    </row>
    <row r="201" spans="3:7" x14ac:dyDescent="0.2">
      <c r="C201" s="16"/>
      <c r="E201" s="54"/>
      <c r="F201" s="16"/>
    </row>
    <row r="202" spans="3:7" x14ac:dyDescent="0.2">
      <c r="C202" s="16"/>
      <c r="E202" s="54"/>
      <c r="F202" s="16"/>
      <c r="G202" s="16"/>
    </row>
    <row r="203" spans="3:7" x14ac:dyDescent="0.2">
      <c r="C203" s="16"/>
      <c r="E203" s="54"/>
      <c r="F203" s="16"/>
      <c r="G203" s="16"/>
    </row>
    <row r="204" spans="3:7" x14ac:dyDescent="0.2">
      <c r="C204" s="16"/>
      <c r="E204" s="54"/>
      <c r="F204" s="16"/>
      <c r="G204" s="16"/>
    </row>
    <row r="205" spans="3:7" x14ac:dyDescent="0.2">
      <c r="C205" s="16"/>
      <c r="E205" s="54"/>
      <c r="F205" s="16"/>
      <c r="G205" s="16"/>
    </row>
    <row r="206" spans="3:7" x14ac:dyDescent="0.2">
      <c r="C206" s="16"/>
      <c r="E206" s="54"/>
      <c r="F206" s="16"/>
      <c r="G206" s="16"/>
    </row>
    <row r="207" spans="3:7" x14ac:dyDescent="0.2">
      <c r="C207" s="16"/>
      <c r="E207" s="54"/>
      <c r="F207" s="16"/>
    </row>
    <row r="208" spans="3:7" x14ac:dyDescent="0.2">
      <c r="C208" s="16"/>
      <c r="E208" s="54"/>
      <c r="F208" s="16"/>
    </row>
    <row r="209" spans="3:8" x14ac:dyDescent="0.2">
      <c r="C209" s="16"/>
      <c r="E209" s="54"/>
      <c r="F209" s="16"/>
    </row>
    <row r="210" spans="3:8" x14ac:dyDescent="0.2">
      <c r="C210" s="16"/>
      <c r="E210" s="54"/>
      <c r="F210" s="16"/>
    </row>
    <row r="211" spans="3:8" x14ac:dyDescent="0.2">
      <c r="C211" s="16"/>
      <c r="E211" s="54"/>
      <c r="F211" s="16"/>
    </row>
    <row r="212" spans="3:8" x14ac:dyDescent="0.2">
      <c r="C212" s="16"/>
      <c r="E212" s="54"/>
      <c r="F212" s="16"/>
    </row>
    <row r="215" spans="3:8" x14ac:dyDescent="0.2">
      <c r="E215" s="71"/>
      <c r="H215"/>
    </row>
    <row r="216" spans="3:8" x14ac:dyDescent="0.2">
      <c r="D216" s="39"/>
      <c r="G216" s="39"/>
      <c r="H216"/>
    </row>
    <row r="217" spans="3:8" x14ac:dyDescent="0.2">
      <c r="D217" s="39"/>
      <c r="G217" s="39"/>
      <c r="H217"/>
    </row>
    <row r="218" spans="3:8" x14ac:dyDescent="0.2">
      <c r="D218" s="39"/>
      <c r="G218" s="39"/>
      <c r="H218"/>
    </row>
    <row r="219" spans="3:8" x14ac:dyDescent="0.2">
      <c r="D219" s="39"/>
      <c r="G219" s="39"/>
      <c r="H219"/>
    </row>
    <row r="220" spans="3:8" x14ac:dyDescent="0.2">
      <c r="D220" s="39"/>
      <c r="G220" s="39"/>
      <c r="H220"/>
    </row>
    <row r="221" spans="3:8" x14ac:dyDescent="0.2">
      <c r="D221" s="39"/>
      <c r="G221" s="39"/>
      <c r="H221"/>
    </row>
    <row r="222" spans="3:8" x14ac:dyDescent="0.2">
      <c r="D222" s="39"/>
      <c r="G222" s="39"/>
      <c r="H222"/>
    </row>
    <row r="223" spans="3:8" x14ac:dyDescent="0.2">
      <c r="D223" s="39"/>
      <c r="G223" s="39"/>
      <c r="H223"/>
    </row>
    <row r="224" spans="3:8" x14ac:dyDescent="0.2">
      <c r="D224" s="39"/>
      <c r="G224" s="39"/>
      <c r="H224"/>
    </row>
    <row r="225" spans="4:8" x14ac:dyDescent="0.2">
      <c r="D225" s="39"/>
      <c r="G225" s="39"/>
      <c r="H225"/>
    </row>
    <row r="226" spans="4:8" x14ac:dyDescent="0.2">
      <c r="D226" s="39"/>
      <c r="G226" s="39"/>
      <c r="H226"/>
    </row>
    <row r="227" spans="4:8" x14ac:dyDescent="0.2">
      <c r="D227" s="39"/>
      <c r="G227" s="39"/>
      <c r="H227"/>
    </row>
    <row r="228" spans="4:8" x14ac:dyDescent="0.2">
      <c r="D228" s="39"/>
      <c r="G228" s="39"/>
      <c r="H228"/>
    </row>
    <row r="229" spans="4:8" x14ac:dyDescent="0.2">
      <c r="D229" s="39"/>
      <c r="G229" s="39"/>
      <c r="H229"/>
    </row>
    <row r="230" spans="4:8" x14ac:dyDescent="0.2">
      <c r="D230" s="39"/>
      <c r="G230" s="39"/>
      <c r="H230"/>
    </row>
    <row r="231" spans="4:8" x14ac:dyDescent="0.2">
      <c r="D231" s="39"/>
      <c r="G231" s="39"/>
      <c r="H231"/>
    </row>
    <row r="232" spans="4:8" x14ac:dyDescent="0.2">
      <c r="D232" s="39"/>
      <c r="G232" s="39"/>
      <c r="H232"/>
    </row>
    <row r="233" spans="4:8" x14ac:dyDescent="0.2">
      <c r="D233" s="39"/>
      <c r="G233" s="39"/>
      <c r="H233"/>
    </row>
    <row r="234" spans="4:8" x14ac:dyDescent="0.2">
      <c r="D234" s="39"/>
      <c r="G234" s="39"/>
      <c r="H234"/>
    </row>
    <row r="235" spans="4:8" x14ac:dyDescent="0.2">
      <c r="D235" s="39"/>
      <c r="G235" s="39"/>
      <c r="H235"/>
    </row>
    <row r="236" spans="4:8" x14ac:dyDescent="0.2">
      <c r="D236" s="39"/>
      <c r="G236" s="39"/>
      <c r="H236"/>
    </row>
    <row r="237" spans="4:8" x14ac:dyDescent="0.2">
      <c r="D237" s="39"/>
      <c r="G237" s="39"/>
      <c r="H237"/>
    </row>
    <row r="238" spans="4:8" x14ac:dyDescent="0.2">
      <c r="D238" s="39"/>
      <c r="G238" s="39"/>
      <c r="H238"/>
    </row>
    <row r="239" spans="4:8" x14ac:dyDescent="0.2">
      <c r="D239" s="39"/>
      <c r="G239" s="39"/>
      <c r="H239"/>
    </row>
    <row r="240" spans="4:8" x14ac:dyDescent="0.2">
      <c r="D240" s="39"/>
      <c r="G240" s="39"/>
      <c r="H240"/>
    </row>
    <row r="241" spans="4:8" x14ac:dyDescent="0.2">
      <c r="D241" s="39"/>
      <c r="G241" s="39"/>
      <c r="H241"/>
    </row>
    <row r="242" spans="4:8" x14ac:dyDescent="0.2">
      <c r="D242" s="39"/>
      <c r="G242" s="39"/>
      <c r="H242"/>
    </row>
    <row r="243" spans="4:8" x14ac:dyDescent="0.2">
      <c r="D243" s="39"/>
      <c r="G243" s="39"/>
      <c r="H243"/>
    </row>
    <row r="244" spans="4:8" x14ac:dyDescent="0.2">
      <c r="D244" s="39"/>
      <c r="G244" s="39"/>
      <c r="H244"/>
    </row>
    <row r="245" spans="4:8" x14ac:dyDescent="0.2">
      <c r="D245" s="39"/>
      <c r="G245" s="39"/>
      <c r="H245"/>
    </row>
    <row r="246" spans="4:8" x14ac:dyDescent="0.2">
      <c r="D246" s="39"/>
      <c r="G246" s="39"/>
      <c r="H246"/>
    </row>
    <row r="247" spans="4:8" x14ac:dyDescent="0.2">
      <c r="D247" s="39"/>
      <c r="G247" s="39"/>
      <c r="H247"/>
    </row>
    <row r="248" spans="4:8" x14ac:dyDescent="0.2">
      <c r="D248" s="39"/>
      <c r="G248" s="39"/>
      <c r="H248"/>
    </row>
    <row r="249" spans="4:8" x14ac:dyDescent="0.2">
      <c r="D249" s="39"/>
      <c r="G249" s="39"/>
      <c r="H249"/>
    </row>
    <row r="250" spans="4:8" x14ac:dyDescent="0.2">
      <c r="D250" s="39"/>
      <c r="G250" s="39"/>
      <c r="H250"/>
    </row>
    <row r="251" spans="4:8" x14ac:dyDescent="0.2">
      <c r="D251" s="39"/>
      <c r="G251" s="39"/>
      <c r="H251"/>
    </row>
    <row r="252" spans="4:8" x14ac:dyDescent="0.2">
      <c r="D252" s="39"/>
      <c r="G252" s="39"/>
      <c r="H252"/>
    </row>
    <row r="253" spans="4:8" x14ac:dyDescent="0.2">
      <c r="D253" s="39"/>
      <c r="G253" s="39"/>
      <c r="H253"/>
    </row>
    <row r="254" spans="4:8" x14ac:dyDescent="0.2">
      <c r="D254" s="39"/>
      <c r="G254" s="39"/>
      <c r="H254"/>
    </row>
    <row r="255" spans="4:8" x14ac:dyDescent="0.2">
      <c r="D255" s="39"/>
      <c r="G255" s="39"/>
      <c r="H255"/>
    </row>
    <row r="256" spans="4:8" x14ac:dyDescent="0.2">
      <c r="D256" s="39"/>
      <c r="G256" s="39"/>
      <c r="H256"/>
    </row>
    <row r="257" spans="4:8" x14ac:dyDescent="0.2">
      <c r="D257" s="39"/>
      <c r="G257" s="39"/>
      <c r="H257"/>
    </row>
    <row r="258" spans="4:8" x14ac:dyDescent="0.2">
      <c r="D258" s="39"/>
      <c r="G258" s="39"/>
      <c r="H258"/>
    </row>
    <row r="259" spans="4:8" x14ac:dyDescent="0.2">
      <c r="D259" s="39"/>
      <c r="G259" s="39"/>
      <c r="H259"/>
    </row>
    <row r="260" spans="4:8" x14ac:dyDescent="0.2">
      <c r="D260" s="39"/>
      <c r="G260" s="39"/>
      <c r="H260"/>
    </row>
    <row r="261" spans="4:8" x14ac:dyDescent="0.2">
      <c r="D261" s="39"/>
      <c r="G261" s="39"/>
      <c r="H261"/>
    </row>
    <row r="262" spans="4:8" x14ac:dyDescent="0.2">
      <c r="D262" s="39"/>
      <c r="G262" s="39"/>
      <c r="H262"/>
    </row>
    <row r="263" spans="4:8" x14ac:dyDescent="0.2">
      <c r="D263" s="39"/>
      <c r="G263" s="39"/>
      <c r="H263"/>
    </row>
    <row r="264" spans="4:8" x14ac:dyDescent="0.2">
      <c r="D264" s="39"/>
      <c r="G264" s="39"/>
      <c r="H264"/>
    </row>
    <row r="265" spans="4:8" x14ac:dyDescent="0.2">
      <c r="D265" s="39"/>
      <c r="G265" s="39"/>
      <c r="H265"/>
    </row>
    <row r="266" spans="4:8" x14ac:dyDescent="0.2">
      <c r="D266" s="39"/>
      <c r="G266" s="39"/>
      <c r="H266"/>
    </row>
    <row r="267" spans="4:8" x14ac:dyDescent="0.2">
      <c r="D267" s="39"/>
      <c r="G267" s="39"/>
      <c r="H267"/>
    </row>
    <row r="268" spans="4:8" x14ac:dyDescent="0.2">
      <c r="D268" s="39"/>
      <c r="G268" s="39"/>
      <c r="H268"/>
    </row>
    <row r="269" spans="4:8" x14ac:dyDescent="0.2">
      <c r="D269" s="39"/>
      <c r="G269" s="39"/>
      <c r="H269"/>
    </row>
    <row r="270" spans="4:8" x14ac:dyDescent="0.2">
      <c r="D270" s="39"/>
      <c r="G270" s="39"/>
      <c r="H270"/>
    </row>
    <row r="271" spans="4:8" x14ac:dyDescent="0.2">
      <c r="D271" s="39"/>
      <c r="G271" s="39"/>
      <c r="H271"/>
    </row>
    <row r="272" spans="4:8" x14ac:dyDescent="0.2">
      <c r="D272" s="39"/>
      <c r="G272" s="39"/>
      <c r="H272"/>
    </row>
    <row r="273" spans="4:8" x14ac:dyDescent="0.2">
      <c r="D273" s="39"/>
      <c r="G273" s="39"/>
      <c r="H273"/>
    </row>
    <row r="274" spans="4:8" x14ac:dyDescent="0.2">
      <c r="D274" s="39"/>
      <c r="G274" s="39"/>
      <c r="H274"/>
    </row>
    <row r="275" spans="4:8" x14ac:dyDescent="0.2">
      <c r="D275" s="39"/>
      <c r="G275" s="39"/>
      <c r="H275"/>
    </row>
    <row r="276" spans="4:8" x14ac:dyDescent="0.2">
      <c r="D276" s="39"/>
      <c r="G276" s="39"/>
      <c r="H276"/>
    </row>
    <row r="277" spans="4:8" x14ac:dyDescent="0.2">
      <c r="D277" s="39"/>
      <c r="G277" s="39"/>
      <c r="H277"/>
    </row>
    <row r="278" spans="4:8" x14ac:dyDescent="0.2">
      <c r="D278" s="39"/>
      <c r="G278" s="39"/>
      <c r="H278"/>
    </row>
    <row r="279" spans="4:8" x14ac:dyDescent="0.2">
      <c r="D279" s="39"/>
      <c r="G279" s="39"/>
      <c r="H279"/>
    </row>
    <row r="280" spans="4:8" x14ac:dyDescent="0.2">
      <c r="D280" s="39"/>
      <c r="G280" s="39"/>
      <c r="H280"/>
    </row>
    <row r="281" spans="4:8" x14ac:dyDescent="0.2">
      <c r="D281" s="39"/>
      <c r="G281" s="39"/>
      <c r="H281"/>
    </row>
    <row r="282" spans="4:8" x14ac:dyDescent="0.2">
      <c r="D282" s="39"/>
      <c r="G282" s="39"/>
      <c r="H282"/>
    </row>
    <row r="283" spans="4:8" x14ac:dyDescent="0.2">
      <c r="D283" s="39"/>
      <c r="G283" s="39"/>
      <c r="H283"/>
    </row>
    <row r="284" spans="4:8" x14ac:dyDescent="0.2">
      <c r="D284" s="39"/>
      <c r="G284" s="39"/>
      <c r="H284"/>
    </row>
    <row r="285" spans="4:8" x14ac:dyDescent="0.2">
      <c r="D285" s="39"/>
      <c r="G285" s="39"/>
      <c r="H285"/>
    </row>
    <row r="286" spans="4:8" x14ac:dyDescent="0.2">
      <c r="D286" s="39"/>
      <c r="G286" s="39"/>
      <c r="H286"/>
    </row>
    <row r="287" spans="4:8" x14ac:dyDescent="0.2">
      <c r="D287" s="39"/>
      <c r="G287" s="39"/>
      <c r="H287"/>
    </row>
    <row r="288" spans="4:8" x14ac:dyDescent="0.2">
      <c r="D288" s="39"/>
      <c r="G288" s="39"/>
      <c r="H288"/>
    </row>
    <row r="289" spans="4:8" x14ac:dyDescent="0.2">
      <c r="D289" s="39"/>
      <c r="G289" s="39"/>
      <c r="H289"/>
    </row>
    <row r="290" spans="4:8" x14ac:dyDescent="0.2">
      <c r="D290" s="39"/>
      <c r="G290" s="39"/>
      <c r="H290"/>
    </row>
    <row r="291" spans="4:8" x14ac:dyDescent="0.2">
      <c r="D291" s="39"/>
      <c r="G291" s="39"/>
      <c r="H291"/>
    </row>
    <row r="292" spans="4:8" x14ac:dyDescent="0.2">
      <c r="D292" s="39"/>
      <c r="G292" s="39"/>
      <c r="H292"/>
    </row>
    <row r="293" spans="4:8" x14ac:dyDescent="0.2">
      <c r="D293" s="39"/>
      <c r="G293" s="39"/>
      <c r="H293"/>
    </row>
    <row r="294" spans="4:8" x14ac:dyDescent="0.2">
      <c r="D294" s="39"/>
      <c r="G294" s="39"/>
      <c r="H294"/>
    </row>
    <row r="295" spans="4:8" x14ac:dyDescent="0.2">
      <c r="D295" s="39"/>
      <c r="G295" s="39"/>
      <c r="H295"/>
    </row>
    <row r="296" spans="4:8" x14ac:dyDescent="0.2">
      <c r="D296" s="39"/>
      <c r="G296" s="39"/>
      <c r="H296"/>
    </row>
    <row r="297" spans="4:8" x14ac:dyDescent="0.2">
      <c r="D297" s="39"/>
      <c r="G297" s="39"/>
      <c r="H297"/>
    </row>
    <row r="298" spans="4:8" x14ac:dyDescent="0.2">
      <c r="D298" s="39"/>
      <c r="G298" s="39"/>
      <c r="H298"/>
    </row>
    <row r="299" spans="4:8" x14ac:dyDescent="0.2">
      <c r="D299" s="39"/>
      <c r="G299" s="39"/>
      <c r="H299"/>
    </row>
    <row r="300" spans="4:8" x14ac:dyDescent="0.2">
      <c r="D300" s="39"/>
      <c r="G300" s="39"/>
      <c r="H300"/>
    </row>
    <row r="301" spans="4:8" x14ac:dyDescent="0.2">
      <c r="D301" s="39"/>
      <c r="G301" s="39"/>
      <c r="H301"/>
    </row>
    <row r="302" spans="4:8" x14ac:dyDescent="0.2">
      <c r="D302" s="39"/>
      <c r="G302" s="39"/>
      <c r="H302"/>
    </row>
    <row r="303" spans="4:8" x14ac:dyDescent="0.2">
      <c r="D303" s="39"/>
      <c r="G303" s="39"/>
      <c r="H303"/>
    </row>
    <row r="304" spans="4:8" x14ac:dyDescent="0.2">
      <c r="D304" s="39"/>
      <c r="G304" s="39"/>
      <c r="H304"/>
    </row>
    <row r="305" spans="4:8" x14ac:dyDescent="0.2">
      <c r="D305" s="39"/>
      <c r="G305" s="39"/>
      <c r="H305"/>
    </row>
    <row r="306" spans="4:8" x14ac:dyDescent="0.2">
      <c r="D306" s="39"/>
      <c r="G306" s="39"/>
      <c r="H306"/>
    </row>
    <row r="307" spans="4:8" x14ac:dyDescent="0.2">
      <c r="D307" s="39"/>
      <c r="G307" s="39"/>
      <c r="H307"/>
    </row>
    <row r="308" spans="4:8" x14ac:dyDescent="0.2">
      <c r="D308" s="39"/>
      <c r="G308" s="39"/>
      <c r="H308"/>
    </row>
    <row r="309" spans="4:8" x14ac:dyDescent="0.2">
      <c r="D309" s="39"/>
      <c r="G309" s="39"/>
      <c r="H309"/>
    </row>
    <row r="310" spans="4:8" x14ac:dyDescent="0.2">
      <c r="D310" s="39"/>
      <c r="G310" s="39"/>
      <c r="H310"/>
    </row>
    <row r="311" spans="4:8" x14ac:dyDescent="0.2">
      <c r="D311" s="39"/>
      <c r="G311" s="39"/>
      <c r="H311"/>
    </row>
    <row r="312" spans="4:8" x14ac:dyDescent="0.2">
      <c r="D312" s="39"/>
      <c r="G312" s="39"/>
      <c r="H312"/>
    </row>
    <row r="313" spans="4:8" x14ac:dyDescent="0.2">
      <c r="D313" s="39"/>
      <c r="G313" s="39"/>
      <c r="H313"/>
    </row>
    <row r="314" spans="4:8" x14ac:dyDescent="0.2">
      <c r="D314" s="39"/>
      <c r="G314" s="39"/>
      <c r="H314"/>
    </row>
    <row r="315" spans="4:8" x14ac:dyDescent="0.2">
      <c r="D315" s="39"/>
      <c r="G315" s="39"/>
      <c r="H315"/>
    </row>
    <row r="316" spans="4:8" x14ac:dyDescent="0.2">
      <c r="D316" s="39"/>
      <c r="G316" s="39"/>
      <c r="H316"/>
    </row>
    <row r="317" spans="4:8" x14ac:dyDescent="0.2">
      <c r="D317" s="39"/>
      <c r="G317" s="39"/>
      <c r="H317"/>
    </row>
    <row r="318" spans="4:8" x14ac:dyDescent="0.2">
      <c r="D318" s="39"/>
      <c r="G318" s="39"/>
      <c r="H318"/>
    </row>
    <row r="319" spans="4:8" x14ac:dyDescent="0.2">
      <c r="D319" s="39"/>
      <c r="G319" s="39"/>
      <c r="H319"/>
    </row>
    <row r="320" spans="4:8" x14ac:dyDescent="0.2">
      <c r="D320" s="39"/>
      <c r="G320" s="39"/>
      <c r="H320"/>
    </row>
    <row r="321" spans="4:8" x14ac:dyDescent="0.2">
      <c r="D321" s="39"/>
      <c r="G321" s="39"/>
      <c r="H321"/>
    </row>
    <row r="322" spans="4:8" x14ac:dyDescent="0.2">
      <c r="D322" s="39"/>
      <c r="G322" s="39"/>
      <c r="H322"/>
    </row>
    <row r="323" spans="4:8" x14ac:dyDescent="0.2">
      <c r="D323" s="39"/>
      <c r="G323" s="39"/>
      <c r="H323"/>
    </row>
    <row r="324" spans="4:8" x14ac:dyDescent="0.2">
      <c r="D324" s="39"/>
      <c r="G324" s="39"/>
      <c r="H324"/>
    </row>
    <row r="325" spans="4:8" x14ac:dyDescent="0.2">
      <c r="D325" s="39"/>
      <c r="G325" s="39"/>
      <c r="H325"/>
    </row>
    <row r="326" spans="4:8" x14ac:dyDescent="0.2">
      <c r="D326" s="39"/>
      <c r="G326" s="39"/>
      <c r="H326"/>
    </row>
    <row r="327" spans="4:8" x14ac:dyDescent="0.2">
      <c r="D327" s="39"/>
      <c r="G327" s="39"/>
      <c r="H327"/>
    </row>
    <row r="328" spans="4:8" x14ac:dyDescent="0.2">
      <c r="D328" s="39"/>
      <c r="G328" s="39"/>
      <c r="H328"/>
    </row>
    <row r="329" spans="4:8" x14ac:dyDescent="0.2">
      <c r="D329" s="39"/>
      <c r="G329" s="39"/>
      <c r="H329"/>
    </row>
    <row r="330" spans="4:8" x14ac:dyDescent="0.2">
      <c r="D330" s="39"/>
      <c r="G330" s="39"/>
      <c r="H330"/>
    </row>
    <row r="331" spans="4:8" x14ac:dyDescent="0.2">
      <c r="D331" s="39"/>
      <c r="G331" s="39"/>
      <c r="H331"/>
    </row>
    <row r="332" spans="4:8" x14ac:dyDescent="0.2">
      <c r="D332" s="39"/>
      <c r="G332" s="39"/>
      <c r="H332"/>
    </row>
    <row r="333" spans="4:8" x14ac:dyDescent="0.2">
      <c r="D333" s="39"/>
      <c r="G333" s="39"/>
      <c r="H333"/>
    </row>
    <row r="334" spans="4:8" x14ac:dyDescent="0.2">
      <c r="D334" s="39"/>
      <c r="G334" s="39"/>
      <c r="H334"/>
    </row>
    <row r="335" spans="4:8" x14ac:dyDescent="0.2">
      <c r="D335" s="39"/>
      <c r="G335" s="39"/>
      <c r="H335"/>
    </row>
    <row r="336" spans="4:8" x14ac:dyDescent="0.2">
      <c r="D336" s="39"/>
      <c r="G336" s="39"/>
      <c r="H336"/>
    </row>
    <row r="337" spans="4:8" x14ac:dyDescent="0.2">
      <c r="D337" s="39"/>
      <c r="G337" s="39"/>
      <c r="H337"/>
    </row>
    <row r="338" spans="4:8" x14ac:dyDescent="0.2">
      <c r="D338" s="39"/>
      <c r="G338" s="39"/>
      <c r="H338"/>
    </row>
    <row r="339" spans="4:8" x14ac:dyDescent="0.2">
      <c r="D339" s="39"/>
      <c r="G339" s="39"/>
      <c r="H339"/>
    </row>
    <row r="340" spans="4:8" x14ac:dyDescent="0.2">
      <c r="D340" s="39"/>
      <c r="G340" s="39"/>
      <c r="H340"/>
    </row>
    <row r="341" spans="4:8" x14ac:dyDescent="0.2">
      <c r="D341" s="39"/>
      <c r="G341" s="39"/>
      <c r="H341"/>
    </row>
    <row r="342" spans="4:8" x14ac:dyDescent="0.2">
      <c r="D342" s="39"/>
      <c r="G342" s="39"/>
      <c r="H342"/>
    </row>
    <row r="343" spans="4:8" x14ac:dyDescent="0.2">
      <c r="D343" s="39"/>
      <c r="G343" s="39"/>
      <c r="H343"/>
    </row>
    <row r="344" spans="4:8" x14ac:dyDescent="0.2">
      <c r="D344" s="39"/>
      <c r="G344" s="39"/>
      <c r="H344"/>
    </row>
    <row r="345" spans="4:8" x14ac:dyDescent="0.2">
      <c r="D345" s="39"/>
      <c r="G345" s="39"/>
      <c r="H345"/>
    </row>
    <row r="346" spans="4:8" x14ac:dyDescent="0.2">
      <c r="D346" s="39"/>
      <c r="G346" s="39"/>
      <c r="H346"/>
    </row>
    <row r="347" spans="4:8" x14ac:dyDescent="0.2">
      <c r="D347" s="39"/>
      <c r="G347" s="39"/>
      <c r="H347"/>
    </row>
    <row r="348" spans="4:8" x14ac:dyDescent="0.2">
      <c r="D348" s="39"/>
      <c r="G348" s="39"/>
      <c r="H348"/>
    </row>
    <row r="349" spans="4:8" x14ac:dyDescent="0.2">
      <c r="D349" s="39"/>
      <c r="G349" s="39"/>
      <c r="H349"/>
    </row>
    <row r="350" spans="4:8" x14ac:dyDescent="0.2">
      <c r="D350" s="39"/>
      <c r="G350" s="39"/>
      <c r="H350"/>
    </row>
    <row r="351" spans="4:8" x14ac:dyDescent="0.2">
      <c r="D351" s="39"/>
      <c r="G351" s="39"/>
      <c r="H351"/>
    </row>
    <row r="352" spans="4:8" x14ac:dyDescent="0.2">
      <c r="D352" s="39"/>
      <c r="G352" s="39"/>
      <c r="H352"/>
    </row>
    <row r="353" spans="4:8" x14ac:dyDescent="0.2">
      <c r="D353" s="39"/>
      <c r="G353" s="39"/>
      <c r="H353"/>
    </row>
    <row r="354" spans="4:8" x14ac:dyDescent="0.2">
      <c r="D354" s="39"/>
      <c r="G354" s="39"/>
      <c r="H354"/>
    </row>
    <row r="355" spans="4:8" x14ac:dyDescent="0.2">
      <c r="D355" s="39"/>
      <c r="G355" s="39"/>
      <c r="H355"/>
    </row>
    <row r="356" spans="4:8" x14ac:dyDescent="0.2">
      <c r="D356" s="39"/>
      <c r="G356" s="39"/>
      <c r="H356"/>
    </row>
    <row r="357" spans="4:8" x14ac:dyDescent="0.2">
      <c r="D357" s="39"/>
      <c r="G357" s="39"/>
      <c r="H357"/>
    </row>
    <row r="358" spans="4:8" x14ac:dyDescent="0.2">
      <c r="D358" s="39"/>
      <c r="G358" s="39"/>
      <c r="H358"/>
    </row>
    <row r="359" spans="4:8" x14ac:dyDescent="0.2">
      <c r="D359" s="39"/>
      <c r="G359" s="39"/>
      <c r="H359"/>
    </row>
    <row r="360" spans="4:8" x14ac:dyDescent="0.2">
      <c r="D360" s="39"/>
      <c r="G360" s="39"/>
      <c r="H360"/>
    </row>
    <row r="361" spans="4:8" x14ac:dyDescent="0.2">
      <c r="D361" s="39"/>
      <c r="G361" s="39"/>
      <c r="H361"/>
    </row>
    <row r="362" spans="4:8" x14ac:dyDescent="0.2">
      <c r="D362" s="39"/>
      <c r="G362" s="39"/>
      <c r="H362"/>
    </row>
    <row r="363" spans="4:8" x14ac:dyDescent="0.2">
      <c r="D363" s="39"/>
      <c r="G363" s="39"/>
      <c r="H363"/>
    </row>
    <row r="364" spans="4:8" x14ac:dyDescent="0.2">
      <c r="D364" s="39"/>
      <c r="G364" s="39"/>
      <c r="H364"/>
    </row>
    <row r="365" spans="4:8" x14ac:dyDescent="0.2">
      <c r="D365" s="39"/>
      <c r="G365" s="39"/>
      <c r="H365"/>
    </row>
    <row r="366" spans="4:8" x14ac:dyDescent="0.2">
      <c r="D366" s="39"/>
      <c r="G366" s="39"/>
      <c r="H366"/>
    </row>
    <row r="367" spans="4:8" x14ac:dyDescent="0.2">
      <c r="D367" s="39"/>
      <c r="G367" s="39"/>
      <c r="H367"/>
    </row>
    <row r="368" spans="4:8" x14ac:dyDescent="0.2">
      <c r="D368" s="39"/>
      <c r="G368" s="39"/>
      <c r="H368"/>
    </row>
    <row r="369" spans="4:8" x14ac:dyDescent="0.2">
      <c r="D369" s="39"/>
      <c r="G369" s="39"/>
      <c r="H369"/>
    </row>
    <row r="370" spans="4:8" x14ac:dyDescent="0.2">
      <c r="D370" s="39"/>
      <c r="G370" s="39"/>
      <c r="H370"/>
    </row>
    <row r="371" spans="4:8" x14ac:dyDescent="0.2">
      <c r="D371" s="39"/>
      <c r="G371" s="39"/>
      <c r="H371"/>
    </row>
    <row r="372" spans="4:8" x14ac:dyDescent="0.2">
      <c r="D372" s="39"/>
      <c r="G372" s="39"/>
      <c r="H372"/>
    </row>
    <row r="373" spans="4:8" x14ac:dyDescent="0.2">
      <c r="D373" s="39"/>
      <c r="G373" s="39"/>
      <c r="H373"/>
    </row>
    <row r="374" spans="4:8" x14ac:dyDescent="0.2">
      <c r="D374" s="39"/>
      <c r="G374" s="39"/>
      <c r="H374"/>
    </row>
    <row r="375" spans="4:8" x14ac:dyDescent="0.2">
      <c r="D375" s="39"/>
      <c r="G375" s="39"/>
      <c r="H375"/>
    </row>
    <row r="376" spans="4:8" x14ac:dyDescent="0.2">
      <c r="D376" s="39"/>
      <c r="G376" s="39"/>
      <c r="H376"/>
    </row>
    <row r="377" spans="4:8" x14ac:dyDescent="0.2">
      <c r="D377" s="39"/>
      <c r="G377" s="39"/>
      <c r="H377"/>
    </row>
    <row r="378" spans="4:8" x14ac:dyDescent="0.2">
      <c r="D378" s="39"/>
      <c r="G378" s="39"/>
      <c r="H378"/>
    </row>
    <row r="379" spans="4:8" x14ac:dyDescent="0.2">
      <c r="D379" s="39"/>
      <c r="G379" s="39"/>
      <c r="H379"/>
    </row>
    <row r="380" spans="4:8" x14ac:dyDescent="0.2">
      <c r="D380" s="39"/>
      <c r="G380" s="39"/>
      <c r="H380"/>
    </row>
    <row r="381" spans="4:8" x14ac:dyDescent="0.2">
      <c r="D381" s="39"/>
      <c r="G381" s="39"/>
      <c r="H381"/>
    </row>
    <row r="382" spans="4:8" x14ac:dyDescent="0.2">
      <c r="D382" s="39"/>
      <c r="G382" s="39"/>
      <c r="H382"/>
    </row>
    <row r="383" spans="4:8" x14ac:dyDescent="0.2">
      <c r="D383" s="39"/>
      <c r="G383" s="39"/>
      <c r="H383"/>
    </row>
    <row r="384" spans="4:8" x14ac:dyDescent="0.2">
      <c r="D384" s="39"/>
      <c r="G384" s="39"/>
      <c r="H384"/>
    </row>
    <row r="385" spans="4:8" x14ac:dyDescent="0.2">
      <c r="D385" s="39"/>
      <c r="G385" s="39"/>
      <c r="H385"/>
    </row>
    <row r="386" spans="4:8" x14ac:dyDescent="0.2">
      <c r="D386" s="39"/>
      <c r="G386" s="39"/>
      <c r="H386"/>
    </row>
    <row r="387" spans="4:8" x14ac:dyDescent="0.2">
      <c r="D387" s="39"/>
      <c r="G387" s="39"/>
      <c r="H387"/>
    </row>
    <row r="388" spans="4:8" x14ac:dyDescent="0.2">
      <c r="D388" s="39"/>
      <c r="G388" s="39"/>
      <c r="H388"/>
    </row>
    <row r="389" spans="4:8" x14ac:dyDescent="0.2">
      <c r="D389" s="39"/>
      <c r="G389" s="39"/>
      <c r="H389"/>
    </row>
    <row r="390" spans="4:8" x14ac:dyDescent="0.2">
      <c r="D390" s="39"/>
      <c r="G390" s="39"/>
      <c r="H390"/>
    </row>
    <row r="391" spans="4:8" x14ac:dyDescent="0.2">
      <c r="D391" s="39"/>
      <c r="G391" s="39"/>
      <c r="H391"/>
    </row>
    <row r="392" spans="4:8" x14ac:dyDescent="0.2">
      <c r="D392" s="39"/>
      <c r="G392" s="39"/>
      <c r="H392"/>
    </row>
    <row r="393" spans="4:8" x14ac:dyDescent="0.2">
      <c r="D393" s="39"/>
      <c r="G393" s="39"/>
      <c r="H393"/>
    </row>
    <row r="394" spans="4:8" x14ac:dyDescent="0.2">
      <c r="D394" s="39"/>
      <c r="G394" s="39"/>
      <c r="H394"/>
    </row>
    <row r="395" spans="4:8" x14ac:dyDescent="0.2">
      <c r="D395" s="39"/>
      <c r="G395" s="39"/>
      <c r="H395"/>
    </row>
    <row r="396" spans="4:8" x14ac:dyDescent="0.2">
      <c r="D396" s="39"/>
      <c r="G396" s="39"/>
      <c r="H396"/>
    </row>
    <row r="397" spans="4:8" x14ac:dyDescent="0.2">
      <c r="D397" s="39"/>
      <c r="G397" s="39"/>
      <c r="H397"/>
    </row>
    <row r="398" spans="4:8" x14ac:dyDescent="0.2">
      <c r="D398" s="39"/>
      <c r="G398" s="39"/>
      <c r="H398"/>
    </row>
    <row r="399" spans="4:8" x14ac:dyDescent="0.2">
      <c r="D399" s="39"/>
      <c r="G399" s="39"/>
      <c r="H399"/>
    </row>
    <row r="400" spans="4:8" x14ac:dyDescent="0.2">
      <c r="D400" s="39"/>
      <c r="G400" s="39"/>
      <c r="H400"/>
    </row>
    <row r="401" spans="3:8" x14ac:dyDescent="0.2">
      <c r="D401" s="39"/>
      <c r="G401" s="39"/>
      <c r="H401"/>
    </row>
    <row r="402" spans="3:8" x14ac:dyDescent="0.2">
      <c r="D402" s="39"/>
      <c r="G402" s="39"/>
      <c r="H402"/>
    </row>
    <row r="403" spans="3:8" x14ac:dyDescent="0.2">
      <c r="D403" s="39"/>
      <c r="G403" s="39"/>
      <c r="H403"/>
    </row>
    <row r="404" spans="3:8" x14ac:dyDescent="0.2">
      <c r="D404" s="39"/>
      <c r="G404" s="39"/>
      <c r="H404"/>
    </row>
    <row r="405" spans="3:8" x14ac:dyDescent="0.2">
      <c r="D405" s="39"/>
      <c r="G405" s="39"/>
      <c r="H405"/>
    </row>
    <row r="406" spans="3:8" x14ac:dyDescent="0.2">
      <c r="D406" s="39"/>
      <c r="G406" s="39"/>
      <c r="H406"/>
    </row>
    <row r="407" spans="3:8" x14ac:dyDescent="0.2">
      <c r="D407" s="39"/>
      <c r="G407" s="39"/>
      <c r="H407"/>
    </row>
    <row r="408" spans="3:8" x14ac:dyDescent="0.2">
      <c r="C408" s="16"/>
      <c r="E408" s="54"/>
      <c r="H408"/>
    </row>
    <row r="409" spans="3:8" x14ac:dyDescent="0.2">
      <c r="C409" s="16"/>
      <c r="F409" s="16"/>
    </row>
    <row r="410" spans="3:8" x14ac:dyDescent="0.2">
      <c r="C410" s="16"/>
      <c r="E410" s="54"/>
      <c r="G410" s="16"/>
      <c r="H410" s="74"/>
    </row>
    <row r="411" spans="3:8" x14ac:dyDescent="0.2">
      <c r="C411" s="16"/>
      <c r="E411" s="54"/>
      <c r="G411" s="16"/>
    </row>
    <row r="412" spans="3:8" x14ac:dyDescent="0.2">
      <c r="C412" s="16"/>
      <c r="E412" s="54"/>
      <c r="G412" s="16"/>
    </row>
    <row r="413" spans="3:8" x14ac:dyDescent="0.2">
      <c r="C413" s="16"/>
      <c r="E413" s="54"/>
      <c r="G413" s="16"/>
    </row>
    <row r="414" spans="3:8" x14ac:dyDescent="0.2">
      <c r="C414" s="16"/>
      <c r="E414" s="54"/>
      <c r="G414" s="16"/>
    </row>
    <row r="415" spans="3:8" x14ac:dyDescent="0.2">
      <c r="E415" s="54"/>
      <c r="G415" s="16"/>
    </row>
    <row r="416" spans="3:8" x14ac:dyDescent="0.2">
      <c r="E416" s="54"/>
      <c r="F416" s="16"/>
      <c r="G416" s="16"/>
    </row>
    <row r="417" spans="1:7" x14ac:dyDescent="0.2">
      <c r="A417" s="56"/>
      <c r="B417" s="76"/>
      <c r="C417" s="70"/>
      <c r="D417" s="77"/>
      <c r="E417" s="71"/>
      <c r="F417" s="70"/>
      <c r="G417" s="70"/>
    </row>
    <row r="418" spans="1:7" x14ac:dyDescent="0.2">
      <c r="C418" s="16"/>
      <c r="E418" s="54"/>
      <c r="G418" s="16"/>
    </row>
    <row r="419" spans="1:7" x14ac:dyDescent="0.2">
      <c r="E419" s="54"/>
      <c r="G419" s="16"/>
    </row>
    <row r="420" spans="1:7" x14ac:dyDescent="0.2">
      <c r="E420" s="54"/>
      <c r="G420" s="16"/>
    </row>
    <row r="421" spans="1:7" x14ac:dyDescent="0.2">
      <c r="E421" s="54"/>
      <c r="G421" s="16"/>
    </row>
    <row r="422" spans="1:7" x14ac:dyDescent="0.2">
      <c r="E422" s="54"/>
      <c r="G422" s="16"/>
    </row>
    <row r="423" spans="1:7" x14ac:dyDescent="0.2">
      <c r="E423" s="54"/>
      <c r="G423" s="16"/>
    </row>
    <row r="424" spans="1:7" x14ac:dyDescent="0.2">
      <c r="E424" s="54"/>
      <c r="G424" s="16"/>
    </row>
    <row r="425" spans="1:7" x14ac:dyDescent="0.2">
      <c r="E425" s="54"/>
      <c r="G425" s="16"/>
    </row>
    <row r="426" spans="1:7" x14ac:dyDescent="0.2">
      <c r="E426" s="54"/>
      <c r="G426" s="16"/>
    </row>
    <row r="427" spans="1:7" x14ac:dyDescent="0.2">
      <c r="E427" s="54"/>
      <c r="G427" s="16"/>
    </row>
    <row r="428" spans="1:7" x14ac:dyDescent="0.2">
      <c r="E428" s="54"/>
      <c r="G428" s="16"/>
    </row>
    <row r="429" spans="1:7" x14ac:dyDescent="0.2">
      <c r="E429" s="54"/>
      <c r="G429" s="16"/>
    </row>
    <row r="430" spans="1:7" x14ac:dyDescent="0.2">
      <c r="C430" s="16"/>
      <c r="G430" s="16"/>
    </row>
    <row r="431" spans="1:7" x14ac:dyDescent="0.2">
      <c r="G431" s="16"/>
    </row>
    <row r="432" spans="1:7" x14ac:dyDescent="0.2">
      <c r="E432" s="54"/>
      <c r="G432" s="16"/>
    </row>
    <row r="433" spans="3:10" x14ac:dyDescent="0.2">
      <c r="E433" s="54"/>
      <c r="G433" s="16"/>
    </row>
    <row r="434" spans="3:10" x14ac:dyDescent="0.2">
      <c r="E434" s="54"/>
      <c r="G434" s="16"/>
    </row>
    <row r="435" spans="3:10" x14ac:dyDescent="0.2">
      <c r="E435" s="54"/>
      <c r="G435" s="16"/>
    </row>
    <row r="436" spans="3:10" x14ac:dyDescent="0.2">
      <c r="E436" s="54"/>
      <c r="G436" s="16"/>
    </row>
    <row r="437" spans="3:10" x14ac:dyDescent="0.2">
      <c r="E437" s="54"/>
      <c r="G437" s="16"/>
    </row>
    <row r="438" spans="3:10" x14ac:dyDescent="0.2">
      <c r="E438" s="54"/>
      <c r="G438" s="16"/>
    </row>
    <row r="439" spans="3:10" x14ac:dyDescent="0.2">
      <c r="F439" s="16"/>
      <c r="G439" s="16"/>
    </row>
    <row r="440" spans="3:10" x14ac:dyDescent="0.2">
      <c r="E440" s="71"/>
      <c r="F440" s="16"/>
      <c r="G440" s="16"/>
    </row>
    <row r="441" spans="3:10" x14ac:dyDescent="0.2">
      <c r="C441" s="16"/>
      <c r="F441" s="16"/>
      <c r="G441" s="16"/>
    </row>
    <row r="442" spans="3:10" x14ac:dyDescent="0.2">
      <c r="G442" s="16"/>
    </row>
    <row r="443" spans="3:10" x14ac:dyDescent="0.2">
      <c r="G443" s="16"/>
    </row>
    <row r="444" spans="3:10" x14ac:dyDescent="0.2">
      <c r="G444" s="16"/>
      <c r="I444" s="73"/>
      <c r="J444" s="73"/>
    </row>
    <row r="445" spans="3:10" x14ac:dyDescent="0.2">
      <c r="G445" s="16"/>
      <c r="I445" s="73"/>
      <c r="J445" s="73"/>
    </row>
    <row r="446" spans="3:10" x14ac:dyDescent="0.2">
      <c r="G446" s="16"/>
      <c r="I446" s="73"/>
      <c r="J446" s="73"/>
    </row>
    <row r="447" spans="3:10" x14ac:dyDescent="0.2">
      <c r="G447" s="16"/>
      <c r="I447" s="73"/>
      <c r="J447" s="73"/>
    </row>
    <row r="448" spans="3:10" x14ac:dyDescent="0.2">
      <c r="G448" s="16"/>
      <c r="I448" s="73"/>
      <c r="J448" s="73"/>
    </row>
    <row r="449" spans="6:10" x14ac:dyDescent="0.2">
      <c r="G449" s="16"/>
      <c r="I449" s="73"/>
      <c r="J449" s="73"/>
    </row>
    <row r="450" spans="6:10" x14ac:dyDescent="0.2">
      <c r="G450" s="16"/>
      <c r="I450" s="73"/>
      <c r="J450" s="73"/>
    </row>
    <row r="451" spans="6:10" x14ac:dyDescent="0.2">
      <c r="G451" s="16"/>
    </row>
    <row r="452" spans="6:10" x14ac:dyDescent="0.2">
      <c r="F452" s="53"/>
      <c r="G452" s="16"/>
    </row>
    <row r="453" spans="6:10" x14ac:dyDescent="0.2">
      <c r="G453" s="1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15" sqref="F15"/>
    </sheetView>
  </sheetViews>
  <sheetFormatPr defaultRowHeight="12.75" x14ac:dyDescent="0.2"/>
  <cols>
    <col min="1" max="1" width="16" customWidth="1"/>
    <col min="2" max="2" width="14" customWidth="1"/>
    <col min="3" max="3" width="17.25" customWidth="1"/>
    <col min="4" max="4" width="29.5" customWidth="1"/>
    <col min="5" max="5" width="15.5" customWidth="1"/>
    <col min="6" max="6" width="21.5" customWidth="1"/>
  </cols>
  <sheetData>
    <row r="1" spans="1:6" x14ac:dyDescent="0.2">
      <c r="A1" s="78" t="s">
        <v>105</v>
      </c>
      <c r="B1" s="79" t="s">
        <v>106</v>
      </c>
      <c r="C1" s="79" t="s">
        <v>113</v>
      </c>
      <c r="D1" t="s">
        <v>107</v>
      </c>
      <c r="E1" s="16" t="s">
        <v>108</v>
      </c>
      <c r="F1" s="47" t="s">
        <v>122</v>
      </c>
    </row>
    <row r="2" spans="1:6" x14ac:dyDescent="0.2">
      <c r="A2" s="78">
        <v>42221</v>
      </c>
      <c r="B2" s="79">
        <v>101.65</v>
      </c>
      <c r="C2" s="81" t="s">
        <v>112</v>
      </c>
      <c r="F2" s="47"/>
    </row>
    <row r="3" spans="1:6" x14ac:dyDescent="0.2">
      <c r="B3" s="79">
        <v>40</v>
      </c>
      <c r="C3" s="81" t="s">
        <v>114</v>
      </c>
    </row>
    <row r="4" spans="1:6" x14ac:dyDescent="0.2">
      <c r="B4" s="79">
        <v>150</v>
      </c>
      <c r="C4" s="81" t="s">
        <v>115</v>
      </c>
    </row>
    <row r="5" spans="1:6" x14ac:dyDescent="0.2">
      <c r="B5" s="79">
        <v>50</v>
      </c>
      <c r="C5" s="81" t="s">
        <v>116</v>
      </c>
    </row>
    <row r="6" spans="1:6" x14ac:dyDescent="0.2">
      <c r="B6" s="80">
        <v>341.65</v>
      </c>
      <c r="C6" s="82" t="s">
        <v>4</v>
      </c>
      <c r="D6" s="16" t="s">
        <v>109</v>
      </c>
      <c r="E6" s="16" t="s">
        <v>110</v>
      </c>
    </row>
    <row r="9" spans="1:6" x14ac:dyDescent="0.2">
      <c r="A9" s="78">
        <v>42224</v>
      </c>
      <c r="B9" s="79">
        <v>55</v>
      </c>
      <c r="C9" s="81" t="s">
        <v>118</v>
      </c>
      <c r="F9" s="3"/>
    </row>
    <row r="10" spans="1:6" x14ac:dyDescent="0.2">
      <c r="B10" s="79">
        <v>50</v>
      </c>
      <c r="C10" s="16" t="s">
        <v>119</v>
      </c>
    </row>
    <row r="11" spans="1:6" x14ac:dyDescent="0.2">
      <c r="B11" s="83" t="s">
        <v>117</v>
      </c>
      <c r="C11" s="16" t="s">
        <v>120</v>
      </c>
    </row>
    <row r="12" spans="1:6" x14ac:dyDescent="0.2">
      <c r="B12" s="80">
        <v>105</v>
      </c>
      <c r="C12" s="82" t="s">
        <v>121</v>
      </c>
      <c r="D12" t="s">
        <v>111</v>
      </c>
      <c r="E12" t="s">
        <v>102</v>
      </c>
    </row>
    <row r="15" spans="1:6" x14ac:dyDescent="0.2">
      <c r="A15" t="s">
        <v>154</v>
      </c>
      <c r="B15" s="90">
        <v>200</v>
      </c>
      <c r="D15" t="s">
        <v>153</v>
      </c>
      <c r="E15" t="s">
        <v>155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Published Budget</vt:lpstr>
      <vt:lpstr>Accounting Budget</vt:lpstr>
      <vt:lpstr>Summary</vt:lpstr>
      <vt:lpstr>Transaction Journal</vt:lpstr>
      <vt:lpstr>Pending</vt:lpstr>
      <vt:lpstr>'Accounting Budget'!Print_Area</vt:lpstr>
      <vt:lpstr>'Published Budget'!Print_Area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Kushal</dc:creator>
  <cp:lastModifiedBy>Tom Callen</cp:lastModifiedBy>
  <dcterms:created xsi:type="dcterms:W3CDTF">2014-09-26T17:47:42Z</dcterms:created>
  <dcterms:modified xsi:type="dcterms:W3CDTF">2015-10-26T14:51:52Z</dcterms:modified>
</cp:coreProperties>
</file>